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yorambauman/Documents/CarbonUT/"/>
    </mc:Choice>
  </mc:AlternateContent>
  <xr:revisionPtr revIDLastSave="0" documentId="13_ncr:1_{49A6C7A4-D806-864F-85E1-52A70E0CEB1A}" xr6:coauthVersionLast="36" xr6:coauthVersionMax="36" xr10:uidLastSave="{00000000-0000-0000-0000-000000000000}"/>
  <bookViews>
    <workbookView xWindow="0" yWindow="460" windowWidth="28800" windowHeight="17540" xr2:uid="{E0A53290-D269-E340-9B3D-117930ACA7BF}"/>
  </bookViews>
  <sheets>
    <sheet name="Residential" sheetId="1" r:id="rId1"/>
    <sheet name="Commercial"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0" i="2" l="1"/>
  <c r="B151" i="2"/>
  <c r="B150" i="2"/>
  <c r="B149" i="2"/>
  <c r="B148" i="2"/>
  <c r="B62" i="2"/>
  <c r="B32" i="2"/>
  <c r="A34" i="2" s="1"/>
  <c r="A38" i="2" s="1"/>
  <c r="A91" i="2" s="1"/>
  <c r="A148" i="2" s="1"/>
  <c r="B219" i="1"/>
  <c r="B218" i="1"/>
  <c r="B217" i="1"/>
  <c r="B216" i="1"/>
  <c r="B32" i="1"/>
  <c r="A34" i="1" s="1"/>
  <c r="A38" i="1" s="1"/>
  <c r="A91" i="1" s="1"/>
  <c r="A216" i="1" s="1"/>
  <c r="B147" i="2" l="1"/>
  <c r="B146" i="2"/>
  <c r="B124" i="2"/>
  <c r="B107" i="2"/>
  <c r="A99" i="2"/>
  <c r="A103" i="2" s="1"/>
  <c r="A141" i="2" s="1"/>
  <c r="B76" i="2"/>
  <c r="A82" i="2" s="1"/>
  <c r="A124" i="2" s="1"/>
  <c r="A128" i="2" s="1"/>
  <c r="A64" i="2"/>
  <c r="A107" i="2" s="1"/>
  <c r="A111" i="2" s="1"/>
  <c r="A113" i="2" s="1"/>
  <c r="A118" i="2" s="1"/>
  <c r="A142" i="2" s="1"/>
  <c r="A46" i="2"/>
  <c r="A50" i="2" s="1"/>
  <c r="A92" i="2" s="1"/>
  <c r="A149" i="2" s="1"/>
  <c r="B15" i="2"/>
  <c r="A17" i="2" s="1"/>
  <c r="A21" i="2" s="1"/>
  <c r="A90" i="2" s="1"/>
  <c r="A130" i="2" l="1"/>
  <c r="A135" i="2"/>
  <c r="A143" i="2" s="1"/>
  <c r="A140" i="2" s="1"/>
  <c r="A147" i="2"/>
  <c r="A68" i="2"/>
  <c r="A86" i="2"/>
  <c r="B78" i="1"/>
  <c r="B215" i="1"/>
  <c r="B214" i="1"/>
  <c r="E201" i="1"/>
  <c r="D201" i="1"/>
  <c r="C201" i="1"/>
  <c r="E199" i="1"/>
  <c r="D199" i="1"/>
  <c r="C199" i="1"/>
  <c r="B123" i="1"/>
  <c r="M114" i="1"/>
  <c r="L114" i="1"/>
  <c r="K114" i="1"/>
  <c r="J114" i="1"/>
  <c r="I114" i="1"/>
  <c r="H114" i="1"/>
  <c r="G114" i="1"/>
  <c r="F114" i="1"/>
  <c r="E114" i="1"/>
  <c r="B118" i="1"/>
  <c r="B116" i="1"/>
  <c r="M113" i="1"/>
  <c r="B121" i="1" s="1"/>
  <c r="A127" i="1" s="1"/>
  <c r="L113" i="1"/>
  <c r="K113" i="1"/>
  <c r="J113" i="1"/>
  <c r="I113" i="1"/>
  <c r="H113" i="1"/>
  <c r="G113" i="1"/>
  <c r="F113" i="1"/>
  <c r="E113" i="1"/>
  <c r="A137" i="2" l="1"/>
  <c r="A94" i="2"/>
  <c r="A151" i="2" s="1"/>
  <c r="A120" i="2"/>
  <c r="A93" i="2"/>
  <c r="A150" i="2" s="1"/>
  <c r="A131" i="1"/>
  <c r="A207" i="1" s="1"/>
  <c r="F180" i="1"/>
  <c r="E180" i="1"/>
  <c r="D180" i="1"/>
  <c r="C180" i="1"/>
  <c r="A186" i="1"/>
  <c r="A210" i="1" s="1"/>
  <c r="B152" i="1"/>
  <c r="B135" i="1"/>
  <c r="B80" i="1"/>
  <c r="A82" i="1" s="1"/>
  <c r="B15" i="1"/>
  <c r="A17" i="1" s="1"/>
  <c r="B62" i="1"/>
  <c r="B64" i="1" s="1"/>
  <c r="A66" i="1" s="1"/>
  <c r="A135" i="1" s="1"/>
  <c r="A89" i="2" l="1"/>
  <c r="A146" i="2" s="1"/>
  <c r="A152" i="1"/>
  <c r="A156" i="1" s="1"/>
  <c r="A158" i="1" s="1"/>
  <c r="A70" i="1"/>
  <c r="A199" i="1"/>
  <c r="A201" i="1"/>
  <c r="A139" i="1"/>
  <c r="A86" i="1"/>
  <c r="A46" i="1"/>
  <c r="A50" i="1" s="1"/>
  <c r="A92" i="1" s="1"/>
  <c r="A217" i="1" s="1"/>
  <c r="A21" i="1"/>
  <c r="A90" i="1" s="1"/>
  <c r="A215" i="1" s="1"/>
  <c r="A163" i="1" l="1"/>
  <c r="A209" i="1" s="1"/>
  <c r="A165" i="1"/>
  <c r="A94" i="1"/>
  <c r="A219" i="1" s="1"/>
  <c r="A141" i="1"/>
  <c r="A146" i="1" s="1"/>
  <c r="A208" i="1" s="1"/>
  <c r="A148" i="1"/>
  <c r="A93" i="1"/>
  <c r="A218" i="1" s="1"/>
  <c r="A203" i="1"/>
  <c r="A211" i="1" s="1"/>
  <c r="A206" i="1" l="1"/>
  <c r="A89" i="1"/>
  <c r="A214" i="1" s="1"/>
</calcChain>
</file>

<file path=xl/sharedStrings.xml><?xml version="1.0" encoding="utf-8"?>
<sst xmlns="http://schemas.openxmlformats.org/spreadsheetml/2006/main" count="317" uniqueCount="183">
  <si>
    <t>1. Motor gasoline</t>
  </si>
  <si>
    <t>gallons</t>
  </si>
  <si>
    <t>miles per gallon</t>
  </si>
  <si>
    <t>How many miles does your household fly for personal reasons per year, taking off from airports in Utah? Remember to add up the miles for each person (not including lap infants). Example: The Smiths, a family of 3, flew from SLC to NYC, which is 2000 miles; so 3 people x 2000 miles = 6000.</t>
  </si>
  <si>
    <t>gallons per year</t>
  </si>
  <si>
    <t>Average jet airplane fuel economy per passenger is</t>
  </si>
  <si>
    <t>Estimated jet fuel consumption subject to carbon tax</t>
  </si>
  <si>
    <t>ccf</t>
  </si>
  <si>
    <t>square feet</t>
  </si>
  <si>
    <t>cents per ccf</t>
  </si>
  <si>
    <t>ccf per year</t>
  </si>
  <si>
    <t>Estimated thousand btu per square foot</t>
  </si>
  <si>
    <t>btu per square foot</t>
  </si>
  <si>
    <t>https://www.eia.gov/consumption/residential/data/2015/c&amp;e/pdf/ce1.1.pdf</t>
  </si>
  <si>
    <t>Estimated million btu per year</t>
  </si>
  <si>
    <t>mmbtu per year</t>
  </si>
  <si>
    <t>https://www.eia.gov/tools/faqs/faq.php?id=45&amp;t=7</t>
  </si>
  <si>
    <t>Estimated gasoline consumption (based on mileage)</t>
  </si>
  <si>
    <t>Carbon tax rate</t>
  </si>
  <si>
    <t>cents per gallon motor gasoline</t>
  </si>
  <si>
    <t>cents per gallon jet fuel</t>
  </si>
  <si>
    <t>Estimated electricity consumption (based on square footage)</t>
  </si>
  <si>
    <t>https://www.eia.gov/consumption/residential/data/2015/c&amp;e/pdf/ce2.1.pdf</t>
  </si>
  <si>
    <t>Estimated for Rocky Mt Power fuel mix (62% coal, 15% natural gas)</t>
  </si>
  <si>
    <t>http://www.pacificorp.com/content/dam/pacificorp/doc/CCCom_Update/2016/May_2016/RMP-FactSheet-2016-v6.pdf</t>
  </si>
  <si>
    <t>Eyeballed fit based on:</t>
  </si>
  <si>
    <t>https://www.eia.gov/electricity/data/state/annual_generation_state.xls</t>
  </si>
  <si>
    <t>https://www.eia.gov/electricity/data/state/emission_annual.xls</t>
  </si>
  <si>
    <t>per year</t>
  </si>
  <si>
    <t>https://www.eia.gov/dnav/ng/NG_PRI_SUM_DCU_SUT_A.htm</t>
  </si>
  <si>
    <t>Estimated expenditure based on consumption</t>
  </si>
  <si>
    <t xml:space="preserve">Estimated expenditure based on consumption </t>
  </si>
  <si>
    <t>Married filing jointly</t>
  </si>
  <si>
    <t>Other (single, etc)</t>
  </si>
  <si>
    <t>1 Child</t>
  </si>
  <si>
    <t>2 Children</t>
  </si>
  <si>
    <t>3+ Children</t>
  </si>
  <si>
    <t>No Children</t>
  </si>
  <si>
    <t>https://www.irs.gov/credits-deductions/individuals/earned-income-tax-credit/eitc-income-limits-maximum-credit-amounts-next-year</t>
  </si>
  <si>
    <t>Utah 10% EITC match</t>
  </si>
  <si>
    <t>What is your tax filing status?</t>
  </si>
  <si>
    <t>Choices are:</t>
  </si>
  <si>
    <t>Married filing separately</t>
  </si>
  <si>
    <t>Single</t>
  </si>
  <si>
    <t>What is your Utah modified Adjusted Gross Income?</t>
  </si>
  <si>
    <t>Married filing jointly or head of household</t>
  </si>
  <si>
    <t xml:space="preserve">Your CURRENT Retirement Tax Credit amount is: </t>
  </si>
  <si>
    <t xml:space="preserve">Your NEW Retirement Tax Credit amount is: </t>
  </si>
  <si>
    <t>Your ADDITIONAL Retirement Tax Credit amount is:</t>
  </si>
  <si>
    <t>What is your household's average gas mileage?</t>
  </si>
  <si>
    <t>How many ccf (hundred cubic feet) of natural gas does your household use per year?</t>
  </si>
  <si>
    <t>How many square feet is your home?</t>
  </si>
  <si>
    <t>How many gallons of gasoline does your household buy in Utah per year?</t>
  </si>
  <si>
    <t>miles per year</t>
  </si>
  <si>
    <t>How much does your household spends on grocery store food per year?</t>
  </si>
  <si>
    <t>We can estimate your natural gas expenditures based on your consumption...</t>
  </si>
  <si>
    <t>State sales tax savings</t>
  </si>
  <si>
    <t>We can estimate your electricity expenditures based on your consumption...</t>
  </si>
  <si>
    <t xml:space="preserve">If your income is below these limits, you may qualify, so check your federal tax return or use the calculator tool at the following website: </t>
  </si>
  <si>
    <t xml:space="preserve">If you are not sure, here are some details: The federal Earned Income Tax Credit is a refundable tax credit for low-income working families. The amount of the credit depends on your income and your household structure. Your household DOES NOT quality if your 2019 income is above the limits below: </t>
  </si>
  <si>
    <t>Maximum federal credit</t>
  </si>
  <si>
    <t>The maximum federal credit and Utah credit are as follows</t>
  </si>
  <si>
    <t>Household size</t>
  </si>
  <si>
    <t>people</t>
  </si>
  <si>
    <t>Household income (before taxes)</t>
  </si>
  <si>
    <t>5+</t>
  </si>
  <si>
    <t>...but those households have an average income of...</t>
  </si>
  <si>
    <t>https://www.bls.gov/cex/tables.htm#annual</t>
  </si>
  <si>
    <t>Avg. income before taxes</t>
  </si>
  <si>
    <t>Income decile</t>
  </si>
  <si>
    <t>Lower limit of income</t>
  </si>
  <si>
    <t>Mean of income</t>
  </si>
  <si>
    <t>Average number of people</t>
  </si>
  <si>
    <t>Household spending on electricity</t>
  </si>
  <si>
    <t>Gasoline consumption</t>
  </si>
  <si>
    <t>Natural gas consumption per year</t>
  </si>
  <si>
    <t xml:space="preserve">Electricity consumption </t>
  </si>
  <si>
    <t>Spending on food at home</t>
  </si>
  <si>
    <t>...so you might want to adjust that amount of grocery store spending accordingly.</t>
  </si>
  <si>
    <t>Households of your SIZE spend an amount on grocery store food per year that averages...</t>
  </si>
  <si>
    <t>Similarly, households with your INCOME spent an amount on grocery store food that averages...</t>
  </si>
  <si>
    <t>Food change per $ above mean</t>
  </si>
  <si>
    <t>People change per $ above mean</t>
  </si>
  <si>
    <t>...but those households have an average household size of...</t>
  </si>
  <si>
    <t>If you know how much your household spends on grocery store food, skip down about 25 rows!</t>
  </si>
  <si>
    <t>Only edit the YELLOW highlighted areas!</t>
  </si>
  <si>
    <t xml:space="preserve">Next let's do tax savings, but first a summary: </t>
  </si>
  <si>
    <t>Gasoline</t>
  </si>
  <si>
    <t>Jet fuel</t>
  </si>
  <si>
    <t>Natural gas</t>
  </si>
  <si>
    <t>Electricity</t>
  </si>
  <si>
    <t>Household spending on natural gas</t>
  </si>
  <si>
    <t>Side note: Compare with increased cost for natural gas</t>
  </si>
  <si>
    <t>Side note: Compare with increased cost for electricity</t>
  </si>
  <si>
    <t>If you know your federal EITC amount (or know that you are not eligible), skip to the bottom of this section.</t>
  </si>
  <si>
    <t>Federal EITC amount</t>
  </si>
  <si>
    <t>Ultimately, your Utah EITC match depends on your federal EITC amount, so check your federal tax return or otherwise determine your federal EITC and enter it below.</t>
  </si>
  <si>
    <t>Alternative calculation (only if you can't answer the previous question)</t>
  </si>
  <si>
    <t>Alternative calculation to help estimate grocery store expenditures:</t>
  </si>
  <si>
    <t xml:space="preserve">https://www.cbpp.org/research/federal-tax/policy-basics-the-earned-income-tax-credit </t>
  </si>
  <si>
    <t>How many people in your household (and on your tax return) are 65 years or older?</t>
  </si>
  <si>
    <t>If you know that your household is not eligible for a Retirement Tax Credit (e.g., no members 65 or over, or income over $84,000), skip to the bottom of this section. Otherwise you may qualify for an expanded Retirement Tax Credit.</t>
  </si>
  <si>
    <t>Let's summarize:</t>
  </si>
  <si>
    <t>Eliminate state sales tax on grocery store food</t>
  </si>
  <si>
    <t>Eliminate state sales tax on natural gas</t>
  </si>
  <si>
    <t>Eliminate state sales tax on electricity</t>
  </si>
  <si>
    <t>10% match of federal EITC</t>
  </si>
  <si>
    <t>Expanded Retirement Tax Credit</t>
  </si>
  <si>
    <t>You must enter EXACTLY one of these 3 choices:</t>
  </si>
  <si>
    <t>Total savings</t>
  </si>
  <si>
    <t>Total carbon tax payments</t>
  </si>
  <si>
    <t>Compare:</t>
  </si>
  <si>
    <t xml:space="preserve">How many of those over-65s were born on or before Dec 31, 1952? </t>
  </si>
  <si>
    <t xml:space="preserve">Given this information, we can use an average of the two numbers in bold (above) to get an estimate (in yellow, below) of your household's grocery store expenditures. If you have a better number to use please enter it in the yellow box below! </t>
  </si>
  <si>
    <t>For 5 or more people, please enter "5+".</t>
  </si>
  <si>
    <t>This will populate automatically if you entered it above.</t>
  </si>
  <si>
    <t>Key instructions and notes are in GREEN.</t>
  </si>
  <si>
    <t>Maximum 10% Utah credit</t>
  </si>
  <si>
    <t>Carbon Tax Calculator for Households</t>
  </si>
  <si>
    <t>Carbon Tax Calculator for Commercial Businesses</t>
  </si>
  <si>
    <t>How many gallons of gasoline does your business buy in Utah per year?</t>
  </si>
  <si>
    <t>How many miles does your business drive in Utah per year?</t>
  </si>
  <si>
    <t>What is your business's average gas mileage?</t>
  </si>
  <si>
    <t>How many miles does your business fly per year taking off from airports in Utah? Example: 3 employees flew from SLC to NYC, which is 2000 miles; so 3 people x 2000 miles = 6000.</t>
  </si>
  <si>
    <t>How many ccf (hundred cubic feet) of natural gas does your business use per year?</t>
  </si>
  <si>
    <t>How many square feet is your business?</t>
  </si>
  <si>
    <t>How much does your business spends on grocery store food per year?</t>
  </si>
  <si>
    <t>How many miles does your household drive in Utah per year in gas-powered cars?</t>
  </si>
  <si>
    <t>What is your household's average mpg for diesel vehicles?</t>
  </si>
  <si>
    <t>Estimated on-road diesel consumption (based on mileage)</t>
  </si>
  <si>
    <t>Diesel consumption</t>
  </si>
  <si>
    <t>cents per gallon on-road diesel</t>
  </si>
  <si>
    <t>3. Jet fuel</t>
  </si>
  <si>
    <t>4. Natural gas</t>
  </si>
  <si>
    <t>5. Electricity</t>
  </si>
  <si>
    <t>On-road diesel</t>
  </si>
  <si>
    <t>6. Eliminate state sales tax on food</t>
  </si>
  <si>
    <t>7. Eliminate state sales tax on natural gas</t>
  </si>
  <si>
    <t>8. Eliminate state sales tax on electricity</t>
  </si>
  <si>
    <t>9. Earned Income Tax Credit 10% match</t>
  </si>
  <si>
    <t>10. Retirement Tax Credit</t>
  </si>
  <si>
    <t>2. On-road diesel</t>
  </si>
  <si>
    <t>What is your business's average mpg for diesel vehicles?</t>
  </si>
  <si>
    <t>ccf per square foot</t>
  </si>
  <si>
    <t>https://www.eia.gov/consumption/commercial/data/2012/c&amp;e/cfm/c29.php</t>
  </si>
  <si>
    <t>https://www.eia.gov/consumption/commercial/data/2012/c&amp;e/cfm/c19.php</t>
  </si>
  <si>
    <t>kWh</t>
  </si>
  <si>
    <t>kWh per year</t>
  </si>
  <si>
    <t>Carbon tax per kWh of electricty</t>
  </si>
  <si>
    <t>cents per kWh</t>
  </si>
  <si>
    <t>How many kWh of electricity does your business use per year?</t>
  </si>
  <si>
    <t>How many kWh of electricity does your household use per year?</t>
  </si>
  <si>
    <t>Business spending on natural gas</t>
  </si>
  <si>
    <t>Business spending on electricity</t>
  </si>
  <si>
    <t>https://www.eia.gov/electricity/annual/html/epa_02_10.html</t>
  </si>
  <si>
    <t>How many gallons of diesel does your household buy in Utah per year for on-road vehicles?</t>
  </si>
  <si>
    <t>How many gallons of on-road diesel does your business buy in Utah per year for on-road vehicles?</t>
  </si>
  <si>
    <t>How many miles does your business drive in Utah per year in on-road diesel vehicles?</t>
  </si>
  <si>
    <t>How many miles does your household drive in Utah per year in on-road diesel vehicles?</t>
  </si>
  <si>
    <t>Carbon tax for on-road diesel</t>
  </si>
  <si>
    <t xml:space="preserve">Carbon tax for motor gasoline </t>
  </si>
  <si>
    <t>Carbon tax for jet fuel</t>
  </si>
  <si>
    <t xml:space="preserve">You may have data in therms or in dekatherms (Dth) rather than ccf. Since one therm is very close to one ccf, if you have data in therms then you can just enter that here. (If you want to be exact, divide the number of therms by 0.964 to get ccfs.) And since a dekatherm (Dth) is ten therms, if you have data in dekatherms then divide by 10 (or, to be exact, by 9.64) to get ccfs. </t>
  </si>
  <si>
    <t>Carbon tax for natural gas</t>
  </si>
  <si>
    <t>Carbon tax for electricity</t>
  </si>
  <si>
    <r>
      <t xml:space="preserve">If you have rooftop solar then you'll need to calculate your </t>
    </r>
    <r>
      <rPr>
        <b/>
        <sz val="12"/>
        <color theme="1"/>
        <rFont val="Calibri"/>
        <family val="2"/>
        <scheme val="minor"/>
      </rPr>
      <t>net</t>
    </r>
    <r>
      <rPr>
        <sz val="12"/>
        <color theme="1"/>
        <rFont val="Calibri"/>
        <family val="2"/>
        <scheme val="minor"/>
      </rPr>
      <t xml:space="preserve"> amount of electricity consumption: take total consumption and subtract the amount that comes from your rooftop solar to get the amount that "comes from the grid". </t>
    </r>
  </si>
  <si>
    <t>...and the average residential price for Utah in 2017.</t>
  </si>
  <si>
    <t>...and the average commercial price for Utah in 2017.</t>
  </si>
  <si>
    <t>...and the average commercial price for Utah in 2018.</t>
  </si>
  <si>
    <t>State sales tax rate on grocery store food</t>
  </si>
  <si>
    <t>State sales tax rate on electricity and home heating fuels for residential customers</t>
  </si>
  <si>
    <t>State sales tax rate on electricity and heating fuels for commercial customers</t>
  </si>
  <si>
    <t>Edit the number in yellow above if you know your household spending on natural gas or have a better estimate than the one that's there.</t>
  </si>
  <si>
    <t>Edit the number in yellow above if you know your household spending on electricity or have a better estimate than the one that's there.</t>
  </si>
  <si>
    <t>Edit the number in yellow above if you know your business spending on natural gas or have a better estimate than the one that's there.</t>
  </si>
  <si>
    <t>Edit the number in yellow above if you know your spending on electricity or have a better estimate than the one that's there.</t>
  </si>
  <si>
    <t>Note: "Married filing separately" and "Single" should list no more than 1 person 65 years or older in the previous questions!</t>
  </si>
  <si>
    <t>Estimated ccf per square foot (ballpark for all commercial businesses in the U.S. Mountain region)</t>
  </si>
  <si>
    <t>Estimated kWh per square foot (ballpark for all commercial businesses in the U.S. Mountain region)</t>
  </si>
  <si>
    <t>kWh per square foot</t>
  </si>
  <si>
    <t>Estimated natural gas consumption per year (based on square footage)</t>
  </si>
  <si>
    <t>Estimated natural gas consumption (based on square footage)</t>
  </si>
  <si>
    <t>per mcf (10 ccf)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</si>
</sst>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_(&quot;$&quot;* #,##0.000_);_(&quot;$&quot;* \(#,##0.000\);_(&quot;$&quot;* &quot;-&quot;??_);_(@_)"/>
    <numFmt numFmtId="168" formatCode="0.000000"/>
    <numFmt numFmtId="169" formatCode="0.0"/>
  </numFmts>
  <fonts count="8" x14ac:knownFonts="1">
    <font>
      <sz val="12"/>
      <color theme="1"/>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u/>
      <sz val="12"/>
      <color theme="10"/>
      <name val="Calibri"/>
      <family val="2"/>
      <scheme val="minor"/>
    </font>
    <font>
      <sz val="12"/>
      <color rgb="FF000000"/>
      <name val="Calibri"/>
      <family val="2"/>
      <scheme val="minor"/>
    </font>
    <font>
      <b/>
      <sz val="12"/>
      <color rgb="FFFF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42">
    <xf numFmtId="0" fontId="0" fillId="0" borderId="0" xfId="0"/>
    <xf numFmtId="0" fontId="2" fillId="0" borderId="0" xfId="0" applyFont="1"/>
    <xf numFmtId="44" fontId="0" fillId="0" borderId="0" xfId="2" applyNumberFormat="1" applyFont="1"/>
    <xf numFmtId="164" fontId="0" fillId="0" borderId="0" xfId="1" applyNumberFormat="1" applyFont="1"/>
    <xf numFmtId="44" fontId="2" fillId="0" borderId="0" xfId="2" applyNumberFormat="1" applyFont="1"/>
    <xf numFmtId="0" fontId="5" fillId="0" borderId="0" xfId="0" applyFont="1"/>
    <xf numFmtId="164" fontId="0" fillId="2" borderId="0" xfId="1" applyNumberFormat="1" applyFont="1" applyFill="1"/>
    <xf numFmtId="165" fontId="0" fillId="0" borderId="0" xfId="1" applyNumberFormat="1" applyFont="1"/>
    <xf numFmtId="44" fontId="0" fillId="2" borderId="0" xfId="2" applyFont="1" applyFill="1"/>
    <xf numFmtId="166" fontId="0" fillId="2" borderId="0" xfId="2" applyNumberFormat="1" applyFont="1" applyFill="1"/>
    <xf numFmtId="44" fontId="0" fillId="0" borderId="0" xfId="2" applyFont="1"/>
    <xf numFmtId="44" fontId="2" fillId="0" borderId="0" xfId="2" applyFont="1"/>
    <xf numFmtId="2" fontId="0" fillId="0" borderId="0" xfId="2" applyNumberFormat="1" applyFont="1"/>
    <xf numFmtId="0" fontId="0" fillId="0" borderId="0" xfId="0" applyFont="1"/>
    <xf numFmtId="44" fontId="2" fillId="0" borderId="0" xfId="0" applyNumberFormat="1" applyFont="1"/>
    <xf numFmtId="167" fontId="0" fillId="0" borderId="0" xfId="2" applyNumberFormat="1" applyFont="1"/>
    <xf numFmtId="166" fontId="0" fillId="0" borderId="0" xfId="2" applyNumberFormat="1" applyFont="1"/>
    <xf numFmtId="166" fontId="0" fillId="0" borderId="0" xfId="2" applyNumberFormat="1" applyFont="1" applyAlignment="1">
      <alignment horizontal="right"/>
    </xf>
    <xf numFmtId="168" fontId="0" fillId="0" borderId="0" xfId="2" applyNumberFormat="1" applyFont="1"/>
    <xf numFmtId="0" fontId="2" fillId="3" borderId="0" xfId="0" applyFont="1" applyFill="1"/>
    <xf numFmtId="166" fontId="2" fillId="0" borderId="0" xfId="2" applyNumberFormat="1" applyFont="1"/>
    <xf numFmtId="166" fontId="2" fillId="0" borderId="0" xfId="0" applyNumberFormat="1" applyFont="1"/>
    <xf numFmtId="166" fontId="0" fillId="0" borderId="0" xfId="0" applyNumberFormat="1" applyFont="1"/>
    <xf numFmtId="0" fontId="6" fillId="0" borderId="0" xfId="0" applyFont="1"/>
    <xf numFmtId="0" fontId="3" fillId="0" borderId="0" xfId="0" applyFont="1"/>
    <xf numFmtId="0" fontId="0" fillId="3" borderId="0" xfId="0" applyFont="1" applyFill="1"/>
    <xf numFmtId="0" fontId="0" fillId="0" borderId="0" xfId="0" applyFont="1" applyFill="1"/>
    <xf numFmtId="44" fontId="0" fillId="3" borderId="0" xfId="2" applyNumberFormat="1" applyFont="1" applyFill="1"/>
    <xf numFmtId="0" fontId="0" fillId="2" borderId="0" xfId="0" applyFont="1" applyFill="1"/>
    <xf numFmtId="0" fontId="0" fillId="3" borderId="0" xfId="0" applyFont="1" applyFill="1" applyAlignment="1">
      <alignment horizontal="right"/>
    </xf>
    <xf numFmtId="0" fontId="0" fillId="0" borderId="0" xfId="0" applyFont="1" applyAlignment="1">
      <alignment horizontal="center"/>
    </xf>
    <xf numFmtId="169" fontId="0" fillId="0" borderId="0" xfId="0" applyNumberFormat="1" applyFont="1"/>
    <xf numFmtId="166" fontId="0" fillId="2" borderId="0" xfId="0" applyNumberFormat="1" applyFont="1" applyFill="1"/>
    <xf numFmtId="10" fontId="0" fillId="0" borderId="0" xfId="0" applyNumberFormat="1" applyFont="1"/>
    <xf numFmtId="164" fontId="0" fillId="0" borderId="0" xfId="0" applyNumberFormat="1" applyFont="1"/>
    <xf numFmtId="44" fontId="0" fillId="0" borderId="0" xfId="0" applyNumberFormat="1" applyFont="1"/>
    <xf numFmtId="0" fontId="4" fillId="0" borderId="0" xfId="3" applyFont="1"/>
    <xf numFmtId="0" fontId="0" fillId="2" borderId="0" xfId="0" applyFont="1" applyFill="1" applyAlignment="1">
      <alignment wrapText="1"/>
    </xf>
    <xf numFmtId="0" fontId="0" fillId="3" borderId="0" xfId="0" applyFont="1" applyFill="1" applyAlignment="1">
      <alignment wrapText="1"/>
    </xf>
    <xf numFmtId="0" fontId="7" fillId="0" borderId="0" xfId="0" applyFont="1"/>
    <xf numFmtId="0" fontId="0" fillId="0" borderId="0" xfId="0" applyFont="1" applyAlignment="1">
      <alignment horizontal="left" wrapText="1"/>
    </xf>
    <xf numFmtId="0" fontId="0" fillId="3" borderId="0" xfId="0" applyFont="1" applyFill="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bpp.org/research/federal-tax/policy-basics-the-earned-income-tax-cr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DF055-EB8E-CE45-854A-6A2209E2E901}">
  <dimension ref="A1:N219"/>
  <sheetViews>
    <sheetView tabSelected="1" zoomScale="200" zoomScaleNormal="200" workbookViewId="0">
      <selection activeCell="A8" sqref="A8"/>
    </sheetView>
  </sheetViews>
  <sheetFormatPr baseColWidth="10" defaultRowHeight="16" x14ac:dyDescent="0.2"/>
  <cols>
    <col min="1" max="1" width="12.6640625" style="13" bestFit="1" customWidth="1"/>
    <col min="2" max="2" width="16.83203125" style="13" customWidth="1"/>
    <col min="3" max="4" width="14.33203125" style="13" bestFit="1" customWidth="1"/>
    <col min="5" max="5" width="9.83203125" style="13" customWidth="1"/>
    <col min="6" max="6" width="10.33203125" style="13" customWidth="1"/>
    <col min="7" max="8" width="9.6640625" style="13" customWidth="1"/>
    <col min="9" max="9" width="9.5" style="13" customWidth="1"/>
    <col min="10" max="10" width="9" style="13" customWidth="1"/>
    <col min="11" max="11" width="8.6640625" style="13" customWidth="1"/>
    <col min="12" max="12" width="9.1640625" style="13" customWidth="1"/>
    <col min="13" max="14" width="9.5" style="13" customWidth="1"/>
    <col min="15" max="16384" width="10.83203125" style="13"/>
  </cols>
  <sheetData>
    <row r="1" spans="1:7" x14ac:dyDescent="0.2">
      <c r="A1" s="1" t="s">
        <v>118</v>
      </c>
    </row>
    <row r="3" spans="1:7" x14ac:dyDescent="0.2">
      <c r="A3" s="25" t="s">
        <v>85</v>
      </c>
      <c r="B3" s="25"/>
      <c r="C3" s="25"/>
    </row>
    <row r="4" spans="1:7" x14ac:dyDescent="0.2">
      <c r="A4" s="25" t="s">
        <v>116</v>
      </c>
      <c r="B4" s="25"/>
      <c r="C4" s="25"/>
    </row>
    <row r="5" spans="1:7" x14ac:dyDescent="0.2">
      <c r="A5" s="26"/>
      <c r="B5" s="26"/>
      <c r="C5" s="26"/>
    </row>
    <row r="6" spans="1:7" x14ac:dyDescent="0.2">
      <c r="A6" s="23" t="s">
        <v>0</v>
      </c>
      <c r="B6" s="24"/>
    </row>
    <row r="7" spans="1:7" x14ac:dyDescent="0.2">
      <c r="A7" s="13" t="s">
        <v>52</v>
      </c>
    </row>
    <row r="8" spans="1:7" x14ac:dyDescent="0.2">
      <c r="A8" s="6">
        <v>0</v>
      </c>
      <c r="B8" s="13" t="s">
        <v>1</v>
      </c>
    </row>
    <row r="9" spans="1:7" x14ac:dyDescent="0.2">
      <c r="B9" s="25" t="s">
        <v>97</v>
      </c>
      <c r="C9" s="25"/>
      <c r="D9" s="25"/>
      <c r="E9" s="25"/>
      <c r="F9" s="25"/>
      <c r="G9" s="25"/>
    </row>
    <row r="10" spans="1:7" x14ac:dyDescent="0.2">
      <c r="B10" s="13" t="s">
        <v>127</v>
      </c>
    </row>
    <row r="11" spans="1:7" x14ac:dyDescent="0.2">
      <c r="B11" s="6">
        <v>0</v>
      </c>
      <c r="C11" s="13" t="s">
        <v>53</v>
      </c>
    </row>
    <row r="12" spans="1:7" x14ac:dyDescent="0.2">
      <c r="B12" s="13" t="s">
        <v>49</v>
      </c>
    </row>
    <row r="13" spans="1:7" x14ac:dyDescent="0.2">
      <c r="B13" s="6">
        <v>25</v>
      </c>
      <c r="C13" s="13" t="s">
        <v>2</v>
      </c>
    </row>
    <row r="14" spans="1:7" x14ac:dyDescent="0.2">
      <c r="B14" s="13" t="s">
        <v>17</v>
      </c>
    </row>
    <row r="15" spans="1:7" x14ac:dyDescent="0.2">
      <c r="B15" s="3">
        <f>IF(B13=0,0,B11/B13)</f>
        <v>0</v>
      </c>
      <c r="C15" s="13" t="s">
        <v>4</v>
      </c>
    </row>
    <row r="16" spans="1:7" x14ac:dyDescent="0.2">
      <c r="A16" s="13" t="s">
        <v>74</v>
      </c>
    </row>
    <row r="17" spans="1:7" x14ac:dyDescent="0.2">
      <c r="A17" s="3">
        <f>IF(A8=0,B15,A8)</f>
        <v>0</v>
      </c>
      <c r="B17" s="13" t="s">
        <v>4</v>
      </c>
    </row>
    <row r="18" spans="1:7" x14ac:dyDescent="0.2">
      <c r="A18" s="13" t="s">
        <v>18</v>
      </c>
    </row>
    <row r="19" spans="1:7" x14ac:dyDescent="0.2">
      <c r="A19" s="13">
        <v>8.89</v>
      </c>
      <c r="B19" s="13" t="s">
        <v>19</v>
      </c>
    </row>
    <row r="20" spans="1:7" s="1" customFormat="1" x14ac:dyDescent="0.2">
      <c r="A20" s="1" t="s">
        <v>160</v>
      </c>
    </row>
    <row r="21" spans="1:7" s="1" customFormat="1" x14ac:dyDescent="0.2">
      <c r="A21" s="20">
        <f>A17*A19/100</f>
        <v>0</v>
      </c>
      <c r="D21" s="4"/>
    </row>
    <row r="23" spans="1:7" x14ac:dyDescent="0.2">
      <c r="A23" s="23" t="s">
        <v>141</v>
      </c>
      <c r="B23" s="24"/>
    </row>
    <row r="24" spans="1:7" x14ac:dyDescent="0.2">
      <c r="A24" s="13" t="s">
        <v>155</v>
      </c>
    </row>
    <row r="25" spans="1:7" x14ac:dyDescent="0.2">
      <c r="A25" s="6"/>
      <c r="B25" s="13" t="s">
        <v>1</v>
      </c>
    </row>
    <row r="26" spans="1:7" x14ac:dyDescent="0.2">
      <c r="B26" s="25" t="s">
        <v>97</v>
      </c>
      <c r="C26" s="25"/>
      <c r="D26" s="25"/>
      <c r="E26" s="25"/>
      <c r="F26" s="25"/>
      <c r="G26" s="25"/>
    </row>
    <row r="27" spans="1:7" x14ac:dyDescent="0.2">
      <c r="B27" s="13" t="s">
        <v>158</v>
      </c>
    </row>
    <row r="28" spans="1:7" x14ac:dyDescent="0.2">
      <c r="B28" s="6">
        <v>0</v>
      </c>
      <c r="C28" s="13" t="s">
        <v>53</v>
      </c>
    </row>
    <row r="29" spans="1:7" x14ac:dyDescent="0.2">
      <c r="B29" s="13" t="s">
        <v>128</v>
      </c>
    </row>
    <row r="30" spans="1:7" x14ac:dyDescent="0.2">
      <c r="B30" s="6">
        <v>25</v>
      </c>
      <c r="C30" s="13" t="s">
        <v>2</v>
      </c>
    </row>
    <row r="31" spans="1:7" x14ac:dyDescent="0.2">
      <c r="B31" s="13" t="s">
        <v>129</v>
      </c>
    </row>
    <row r="32" spans="1:7" x14ac:dyDescent="0.2">
      <c r="B32" s="3">
        <f>IF(B30=0,0,B28/B30)</f>
        <v>0</v>
      </c>
      <c r="C32" s="13" t="s">
        <v>4</v>
      </c>
    </row>
    <row r="33" spans="1:8" x14ac:dyDescent="0.2">
      <c r="A33" s="13" t="s">
        <v>130</v>
      </c>
    </row>
    <row r="34" spans="1:8" x14ac:dyDescent="0.2">
      <c r="A34" s="3">
        <f>IF(A25=0,B32,A25)</f>
        <v>0</v>
      </c>
      <c r="B34" s="13" t="s">
        <v>4</v>
      </c>
    </row>
    <row r="35" spans="1:8" x14ac:dyDescent="0.2">
      <c r="A35" s="13" t="s">
        <v>18</v>
      </c>
    </row>
    <row r="36" spans="1:8" x14ac:dyDescent="0.2">
      <c r="A36" s="13">
        <v>10.16</v>
      </c>
      <c r="B36" s="13" t="s">
        <v>131</v>
      </c>
    </row>
    <row r="37" spans="1:8" s="1" customFormat="1" x14ac:dyDescent="0.2">
      <c r="A37" s="1" t="s">
        <v>159</v>
      </c>
    </row>
    <row r="38" spans="1:8" s="1" customFormat="1" x14ac:dyDescent="0.2">
      <c r="A38" s="20">
        <f>A34*A36/100</f>
        <v>0</v>
      </c>
      <c r="D38" s="4"/>
    </row>
    <row r="40" spans="1:8" x14ac:dyDescent="0.2">
      <c r="A40" s="23" t="s">
        <v>132</v>
      </c>
    </row>
    <row r="41" spans="1:8" ht="49" customHeight="1" x14ac:dyDescent="0.2">
      <c r="A41" s="40" t="s">
        <v>3</v>
      </c>
      <c r="B41" s="40"/>
      <c r="C41" s="40"/>
      <c r="D41" s="40"/>
      <c r="E41" s="40"/>
      <c r="F41" s="40"/>
      <c r="G41" s="40"/>
      <c r="H41" s="40"/>
    </row>
    <row r="42" spans="1:8" x14ac:dyDescent="0.2">
      <c r="A42" s="6">
        <v>0</v>
      </c>
      <c r="B42" s="13" t="s">
        <v>53</v>
      </c>
    </row>
    <row r="43" spans="1:8" x14ac:dyDescent="0.2">
      <c r="A43" s="13" t="s">
        <v>5</v>
      </c>
    </row>
    <row r="44" spans="1:8" x14ac:dyDescent="0.2">
      <c r="A44" s="3">
        <v>60</v>
      </c>
      <c r="B44" s="13" t="s">
        <v>2</v>
      </c>
    </row>
    <row r="45" spans="1:8" x14ac:dyDescent="0.2">
      <c r="A45" s="13" t="s">
        <v>6</v>
      </c>
    </row>
    <row r="46" spans="1:8" x14ac:dyDescent="0.2">
      <c r="A46" s="3">
        <f>MAX(B22,(IF(A44=0,0,A42/A44)))</f>
        <v>0</v>
      </c>
      <c r="B46" s="13" t="s">
        <v>4</v>
      </c>
    </row>
    <row r="47" spans="1:8" x14ac:dyDescent="0.2">
      <c r="A47" s="13" t="s">
        <v>18</v>
      </c>
    </row>
    <row r="48" spans="1:8" x14ac:dyDescent="0.2">
      <c r="A48" s="13">
        <v>9.57</v>
      </c>
      <c r="B48" s="13" t="s">
        <v>20</v>
      </c>
    </row>
    <row r="49" spans="1:7" s="1" customFormat="1" x14ac:dyDescent="0.2">
      <c r="A49" s="1" t="s">
        <v>161</v>
      </c>
    </row>
    <row r="50" spans="1:7" s="1" customFormat="1" x14ac:dyDescent="0.2">
      <c r="A50" s="20">
        <f>A46*A48/100</f>
        <v>0</v>
      </c>
    </row>
    <row r="52" spans="1:7" x14ac:dyDescent="0.2">
      <c r="A52" s="23" t="s">
        <v>133</v>
      </c>
    </row>
    <row r="53" spans="1:7" x14ac:dyDescent="0.2">
      <c r="A53" s="13" t="s">
        <v>50</v>
      </c>
    </row>
    <row r="54" spans="1:7" ht="64" customHeight="1" x14ac:dyDescent="0.2">
      <c r="A54" s="41" t="s">
        <v>162</v>
      </c>
      <c r="B54" s="41"/>
      <c r="C54" s="41"/>
      <c r="D54" s="41"/>
      <c r="E54" s="41"/>
      <c r="F54" s="41"/>
      <c r="G54" s="41"/>
    </row>
    <row r="55" spans="1:7" x14ac:dyDescent="0.2">
      <c r="A55" s="6">
        <v>0</v>
      </c>
      <c r="B55" s="13" t="s">
        <v>7</v>
      </c>
    </row>
    <row r="56" spans="1:7" x14ac:dyDescent="0.2">
      <c r="B56" s="25" t="s">
        <v>97</v>
      </c>
      <c r="C56" s="25"/>
      <c r="D56" s="25"/>
      <c r="E56" s="25"/>
      <c r="F56" s="25"/>
      <c r="G56" s="25"/>
    </row>
    <row r="57" spans="1:7" x14ac:dyDescent="0.2">
      <c r="B57" s="13" t="s">
        <v>51</v>
      </c>
    </row>
    <row r="58" spans="1:7" x14ac:dyDescent="0.2">
      <c r="B58" s="6">
        <v>0</v>
      </c>
      <c r="C58" s="13" t="s">
        <v>8</v>
      </c>
    </row>
    <row r="59" spans="1:7" x14ac:dyDescent="0.2">
      <c r="B59" s="13" t="s">
        <v>11</v>
      </c>
    </row>
    <row r="60" spans="1:7" x14ac:dyDescent="0.2">
      <c r="B60" s="7">
        <v>43.1</v>
      </c>
      <c r="C60" s="13" t="s">
        <v>12</v>
      </c>
      <c r="E60" s="13" t="s">
        <v>13</v>
      </c>
    </row>
    <row r="61" spans="1:7" x14ac:dyDescent="0.2">
      <c r="B61" s="13" t="s">
        <v>14</v>
      </c>
    </row>
    <row r="62" spans="1:7" x14ac:dyDescent="0.2">
      <c r="B62" s="3">
        <f>B58*B60/1000</f>
        <v>0</v>
      </c>
      <c r="C62" s="13" t="s">
        <v>15</v>
      </c>
    </row>
    <row r="63" spans="1:7" x14ac:dyDescent="0.2">
      <c r="B63" s="13" t="s">
        <v>181</v>
      </c>
    </row>
    <row r="64" spans="1:7" x14ac:dyDescent="0.2">
      <c r="B64" s="3">
        <f>B62*10/1.1037</f>
        <v>0</v>
      </c>
      <c r="C64" s="13" t="s">
        <v>10</v>
      </c>
      <c r="E64" s="13" t="s">
        <v>16</v>
      </c>
    </row>
    <row r="65" spans="1:8" x14ac:dyDescent="0.2">
      <c r="A65" s="13" t="s">
        <v>75</v>
      </c>
    </row>
    <row r="66" spans="1:8" x14ac:dyDescent="0.2">
      <c r="A66" s="3">
        <f>IF(A55=0,B64,A55)</f>
        <v>0</v>
      </c>
      <c r="B66" s="13" t="s">
        <v>10</v>
      </c>
    </row>
    <row r="67" spans="1:8" x14ac:dyDescent="0.2">
      <c r="A67" s="5" t="s">
        <v>18</v>
      </c>
    </row>
    <row r="68" spans="1:8" x14ac:dyDescent="0.2">
      <c r="A68" s="13">
        <v>5.3120000000000003</v>
      </c>
      <c r="B68" s="13" t="s">
        <v>9</v>
      </c>
    </row>
    <row r="69" spans="1:8" s="1" customFormat="1" x14ac:dyDescent="0.2">
      <c r="A69" s="1" t="s">
        <v>163</v>
      </c>
    </row>
    <row r="70" spans="1:8" s="1" customFormat="1" x14ac:dyDescent="0.2">
      <c r="A70" s="20">
        <f>A66*A68/100</f>
        <v>0</v>
      </c>
    </row>
    <row r="72" spans="1:8" x14ac:dyDescent="0.2">
      <c r="A72" s="23" t="s">
        <v>134</v>
      </c>
    </row>
    <row r="73" spans="1:8" x14ac:dyDescent="0.2">
      <c r="A73" s="13" t="s">
        <v>151</v>
      </c>
    </row>
    <row r="74" spans="1:8" ht="48" customHeight="1" x14ac:dyDescent="0.2">
      <c r="A74" s="41" t="s">
        <v>165</v>
      </c>
      <c r="B74" s="41"/>
      <c r="C74" s="41"/>
      <c r="D74" s="41"/>
      <c r="E74" s="41"/>
      <c r="F74" s="41"/>
      <c r="G74" s="41"/>
    </row>
    <row r="75" spans="1:8" x14ac:dyDescent="0.2">
      <c r="A75" s="6">
        <v>0</v>
      </c>
      <c r="B75" s="13" t="s">
        <v>146</v>
      </c>
    </row>
    <row r="76" spans="1:8" x14ac:dyDescent="0.2">
      <c r="B76" s="25" t="s">
        <v>97</v>
      </c>
      <c r="C76" s="25"/>
      <c r="D76" s="25"/>
      <c r="E76" s="25"/>
      <c r="F76" s="25"/>
      <c r="G76" s="25"/>
    </row>
    <row r="77" spans="1:8" x14ac:dyDescent="0.2">
      <c r="B77" s="13" t="s">
        <v>51</v>
      </c>
    </row>
    <row r="78" spans="1:8" x14ac:dyDescent="0.2">
      <c r="B78" s="6">
        <f>B58</f>
        <v>0</v>
      </c>
      <c r="C78" s="13" t="s">
        <v>8</v>
      </c>
      <c r="D78" s="25" t="s">
        <v>115</v>
      </c>
      <c r="E78" s="25"/>
      <c r="F78" s="25"/>
      <c r="G78" s="25"/>
      <c r="H78" s="25"/>
    </row>
    <row r="79" spans="1:8" x14ac:dyDescent="0.2">
      <c r="B79" s="13" t="s">
        <v>21</v>
      </c>
    </row>
    <row r="80" spans="1:8" x14ac:dyDescent="0.2">
      <c r="B80" s="3">
        <f>B78*8+IF(B78&gt;1000,8000-B78*8+(SQRT(B78-1000))*150,0)</f>
        <v>0</v>
      </c>
      <c r="C80" s="13" t="s">
        <v>146</v>
      </c>
      <c r="D80" s="13" t="s">
        <v>25</v>
      </c>
      <c r="F80" s="13" t="s">
        <v>22</v>
      </c>
    </row>
    <row r="81" spans="1:5" x14ac:dyDescent="0.2">
      <c r="A81" s="13" t="s">
        <v>76</v>
      </c>
    </row>
    <row r="82" spans="1:5" x14ac:dyDescent="0.2">
      <c r="A82" s="3">
        <f>IF(A75=0,B80,A75)</f>
        <v>0</v>
      </c>
      <c r="B82" s="13" t="s">
        <v>147</v>
      </c>
    </row>
    <row r="83" spans="1:5" x14ac:dyDescent="0.2">
      <c r="A83" s="13" t="s">
        <v>148</v>
      </c>
      <c r="E83" s="13" t="s">
        <v>23</v>
      </c>
    </row>
    <row r="84" spans="1:5" x14ac:dyDescent="0.2">
      <c r="A84" s="13">
        <v>0.7</v>
      </c>
      <c r="B84" s="13" t="s">
        <v>149</v>
      </c>
      <c r="E84" s="13" t="s">
        <v>24</v>
      </c>
    </row>
    <row r="85" spans="1:5" x14ac:dyDescent="0.2">
      <c r="A85" s="1" t="s">
        <v>164</v>
      </c>
      <c r="B85" s="1"/>
      <c r="C85" s="1"/>
      <c r="E85" s="13" t="s">
        <v>26</v>
      </c>
    </row>
    <row r="86" spans="1:5" x14ac:dyDescent="0.2">
      <c r="A86" s="20">
        <f>A82*A84/100</f>
        <v>0</v>
      </c>
      <c r="C86" s="1"/>
      <c r="E86" s="13" t="s">
        <v>27</v>
      </c>
    </row>
    <row r="87" spans="1:5" x14ac:dyDescent="0.2">
      <c r="A87" s="4"/>
      <c r="C87" s="1"/>
    </row>
    <row r="88" spans="1:5" x14ac:dyDescent="0.2">
      <c r="A88" s="27" t="s">
        <v>86</v>
      </c>
      <c r="B88" s="25"/>
      <c r="C88" s="19"/>
      <c r="D88" s="25"/>
    </row>
    <row r="89" spans="1:5" s="1" customFormat="1" x14ac:dyDescent="0.2">
      <c r="A89" s="21">
        <f>SUM(A90:A94)</f>
        <v>0</v>
      </c>
      <c r="B89" s="4" t="s">
        <v>110</v>
      </c>
    </row>
    <row r="90" spans="1:5" x14ac:dyDescent="0.2">
      <c r="A90" s="22">
        <f>A21</f>
        <v>0</v>
      </c>
      <c r="B90" s="2" t="s">
        <v>87</v>
      </c>
      <c r="C90" s="1"/>
    </row>
    <row r="91" spans="1:5" x14ac:dyDescent="0.2">
      <c r="A91" s="22">
        <f>A38</f>
        <v>0</v>
      </c>
      <c r="B91" s="2" t="s">
        <v>135</v>
      </c>
      <c r="C91" s="1"/>
    </row>
    <row r="92" spans="1:5" x14ac:dyDescent="0.2">
      <c r="A92" s="22">
        <f>A50</f>
        <v>0</v>
      </c>
      <c r="B92" s="2" t="s">
        <v>88</v>
      </c>
      <c r="C92" s="1"/>
    </row>
    <row r="93" spans="1:5" x14ac:dyDescent="0.2">
      <c r="A93" s="22">
        <f>A70</f>
        <v>0</v>
      </c>
      <c r="B93" s="2" t="s">
        <v>89</v>
      </c>
      <c r="C93" s="1"/>
    </row>
    <row r="94" spans="1:5" x14ac:dyDescent="0.2">
      <c r="A94" s="22">
        <f>A86</f>
        <v>0</v>
      </c>
      <c r="B94" s="2" t="s">
        <v>90</v>
      </c>
    </row>
    <row r="95" spans="1:5" x14ac:dyDescent="0.2">
      <c r="A95" s="4"/>
    </row>
    <row r="96" spans="1:5" x14ac:dyDescent="0.2">
      <c r="A96" s="4"/>
    </row>
    <row r="97" spans="1:14" x14ac:dyDescent="0.2">
      <c r="A97" s="23" t="s">
        <v>136</v>
      </c>
    </row>
    <row r="98" spans="1:14" ht="15" customHeight="1" x14ac:dyDescent="0.2">
      <c r="A98" s="41" t="s">
        <v>84</v>
      </c>
      <c r="B98" s="41"/>
      <c r="C98" s="41"/>
      <c r="D98" s="41"/>
      <c r="E98" s="41"/>
      <c r="F98" s="41"/>
      <c r="G98" s="41"/>
      <c r="H98" s="41"/>
    </row>
    <row r="99" spans="1:14" x14ac:dyDescent="0.2">
      <c r="A99" s="4"/>
    </row>
    <row r="100" spans="1:14" x14ac:dyDescent="0.2">
      <c r="B100" s="25" t="s">
        <v>98</v>
      </c>
      <c r="C100" s="25"/>
      <c r="D100" s="25"/>
      <c r="E100" s="25"/>
      <c r="F100" s="25"/>
      <c r="G100" s="25"/>
    </row>
    <row r="101" spans="1:14" x14ac:dyDescent="0.2">
      <c r="B101" s="13" t="s">
        <v>62</v>
      </c>
    </row>
    <row r="102" spans="1:14" x14ac:dyDescent="0.2">
      <c r="B102" s="28">
        <v>1</v>
      </c>
      <c r="C102" s="13" t="s">
        <v>63</v>
      </c>
      <c r="D102" s="25" t="s">
        <v>41</v>
      </c>
      <c r="E102" s="25">
        <v>1</v>
      </c>
      <c r="F102" s="25">
        <v>2</v>
      </c>
      <c r="G102" s="25">
        <v>3</v>
      </c>
      <c r="H102" s="25">
        <v>4</v>
      </c>
      <c r="I102" s="29" t="s">
        <v>65</v>
      </c>
    </row>
    <row r="103" spans="1:14" x14ac:dyDescent="0.2">
      <c r="D103" s="25" t="s">
        <v>114</v>
      </c>
      <c r="E103" s="25"/>
      <c r="F103" s="25"/>
      <c r="G103" s="25"/>
      <c r="H103" s="25"/>
      <c r="I103" s="29"/>
    </row>
    <row r="104" spans="1:14" x14ac:dyDescent="0.2">
      <c r="C104" s="13" t="s">
        <v>68</v>
      </c>
      <c r="E104" s="16">
        <v>35889</v>
      </c>
      <c r="F104" s="16">
        <v>81237</v>
      </c>
      <c r="G104" s="16">
        <v>91836</v>
      </c>
      <c r="H104" s="16">
        <v>105088</v>
      </c>
      <c r="I104" s="17">
        <v>89585</v>
      </c>
      <c r="K104" s="13" t="s">
        <v>67</v>
      </c>
    </row>
    <row r="105" spans="1:14" x14ac:dyDescent="0.2">
      <c r="C105" s="13" t="s">
        <v>77</v>
      </c>
      <c r="E105" s="16">
        <v>2323</v>
      </c>
      <c r="F105" s="16">
        <v>4417</v>
      </c>
      <c r="G105" s="16">
        <v>5126</v>
      </c>
      <c r="H105" s="16">
        <v>6194</v>
      </c>
      <c r="I105" s="17">
        <v>6738</v>
      </c>
      <c r="K105" s="13" t="s">
        <v>67</v>
      </c>
    </row>
    <row r="106" spans="1:14" x14ac:dyDescent="0.2">
      <c r="B106" s="13" t="s">
        <v>64</v>
      </c>
    </row>
    <row r="107" spans="1:14" x14ac:dyDescent="0.2">
      <c r="B107" s="9">
        <v>0</v>
      </c>
    </row>
    <row r="108" spans="1:14" x14ac:dyDescent="0.2">
      <c r="C108" s="13" t="s">
        <v>69</v>
      </c>
      <c r="E108" s="30">
        <v>1</v>
      </c>
      <c r="F108" s="30">
        <v>2</v>
      </c>
      <c r="G108" s="30">
        <v>3</v>
      </c>
      <c r="H108" s="30">
        <v>4</v>
      </c>
      <c r="I108" s="30">
        <v>5</v>
      </c>
      <c r="J108" s="30">
        <v>6</v>
      </c>
      <c r="K108" s="30">
        <v>7</v>
      </c>
      <c r="L108" s="30">
        <v>8</v>
      </c>
      <c r="M108" s="30">
        <v>9</v>
      </c>
      <c r="N108" s="30">
        <v>10</v>
      </c>
    </row>
    <row r="109" spans="1:14" x14ac:dyDescent="0.2">
      <c r="C109" s="13" t="s">
        <v>70</v>
      </c>
      <c r="E109" s="16"/>
      <c r="F109" s="16">
        <v>12265</v>
      </c>
      <c r="G109" s="16">
        <v>20739</v>
      </c>
      <c r="H109" s="16">
        <v>29648</v>
      </c>
      <c r="I109" s="16">
        <v>39609</v>
      </c>
      <c r="J109" s="16">
        <v>51802</v>
      </c>
      <c r="K109" s="16">
        <v>66898</v>
      </c>
      <c r="L109" s="16">
        <v>85301</v>
      </c>
      <c r="M109" s="16">
        <v>109743</v>
      </c>
      <c r="N109" s="16">
        <v>155556</v>
      </c>
    </row>
    <row r="110" spans="1:14" x14ac:dyDescent="0.2">
      <c r="C110" s="13" t="s">
        <v>71</v>
      </c>
      <c r="E110" s="16">
        <v>6059</v>
      </c>
      <c r="F110" s="16">
        <v>16726</v>
      </c>
      <c r="G110" s="16">
        <v>25189</v>
      </c>
      <c r="H110" s="16">
        <v>34459</v>
      </c>
      <c r="I110" s="16">
        <v>45559</v>
      </c>
      <c r="J110" s="16">
        <v>59299</v>
      </c>
      <c r="K110" s="16">
        <v>75995</v>
      </c>
      <c r="L110" s="16">
        <v>96696</v>
      </c>
      <c r="M110" s="16">
        <v>129006</v>
      </c>
      <c r="N110" s="16">
        <v>247174</v>
      </c>
    </row>
    <row r="111" spans="1:14" x14ac:dyDescent="0.2">
      <c r="C111" s="13" t="s">
        <v>72</v>
      </c>
      <c r="E111" s="13">
        <v>1.6</v>
      </c>
      <c r="F111" s="13">
        <v>1.7</v>
      </c>
      <c r="G111" s="13">
        <v>2.1</v>
      </c>
      <c r="H111" s="13">
        <v>2.2999999999999998</v>
      </c>
      <c r="I111" s="13">
        <v>2.4</v>
      </c>
      <c r="J111" s="13">
        <v>2.6</v>
      </c>
      <c r="K111" s="13">
        <v>2.8</v>
      </c>
      <c r="L111" s="13">
        <v>3</v>
      </c>
      <c r="M111" s="13">
        <v>3.1</v>
      </c>
      <c r="N111" s="13">
        <v>3.1</v>
      </c>
    </row>
    <row r="112" spans="1:14" x14ac:dyDescent="0.2">
      <c r="C112" s="13" t="s">
        <v>77</v>
      </c>
      <c r="E112" s="16">
        <v>2449</v>
      </c>
      <c r="F112" s="16">
        <v>2715</v>
      </c>
      <c r="G112" s="16">
        <v>3548</v>
      </c>
      <c r="H112" s="16">
        <v>3696</v>
      </c>
      <c r="I112" s="16">
        <v>3907</v>
      </c>
      <c r="J112" s="16">
        <v>4169</v>
      </c>
      <c r="K112" s="16">
        <v>4501</v>
      </c>
      <c r="L112" s="16">
        <v>5285</v>
      </c>
      <c r="M112" s="16">
        <v>6195</v>
      </c>
      <c r="N112" s="16">
        <v>7157</v>
      </c>
    </row>
    <row r="113" spans="1:14" x14ac:dyDescent="0.2">
      <c r="C113" s="13" t="s">
        <v>81</v>
      </c>
      <c r="E113" s="15">
        <f t="shared" ref="E113:M113" si="0">(F112-E112)/(F110-E110)</f>
        <v>2.4936720727477265E-2</v>
      </c>
      <c r="F113" s="15">
        <f t="shared" si="0"/>
        <v>9.8428453267162944E-2</v>
      </c>
      <c r="G113" s="15">
        <f t="shared" si="0"/>
        <v>1.5965480043149946E-2</v>
      </c>
      <c r="H113" s="15">
        <f t="shared" si="0"/>
        <v>1.9009009009009009E-2</v>
      </c>
      <c r="I113" s="15">
        <f t="shared" si="0"/>
        <v>1.9068413391557498E-2</v>
      </c>
      <c r="J113" s="15">
        <f t="shared" si="0"/>
        <v>1.9885002395783422E-2</v>
      </c>
      <c r="K113" s="15">
        <f t="shared" si="0"/>
        <v>3.7872566542679099E-2</v>
      </c>
      <c r="L113" s="15">
        <f t="shared" si="0"/>
        <v>2.816465490560198E-2</v>
      </c>
      <c r="M113" s="15">
        <f t="shared" si="0"/>
        <v>8.1409518651411553E-3</v>
      </c>
      <c r="N113" s="15"/>
    </row>
    <row r="114" spans="1:14" x14ac:dyDescent="0.2">
      <c r="C114" s="13" t="s">
        <v>82</v>
      </c>
      <c r="E114" s="18">
        <f t="shared" ref="E114:M114" si="1">(F111-E111)/(F110-E110)</f>
        <v>9.3747070404049753E-6</v>
      </c>
      <c r="F114" s="18">
        <f t="shared" si="1"/>
        <v>4.7264563393595665E-5</v>
      </c>
      <c r="G114" s="18">
        <f t="shared" si="1"/>
        <v>2.1574973031283683E-5</v>
      </c>
      <c r="H114" s="18">
        <f t="shared" si="1"/>
        <v>9.0090090090090163E-6</v>
      </c>
      <c r="I114" s="18">
        <f t="shared" si="1"/>
        <v>1.4556040756914132E-5</v>
      </c>
      <c r="J114" s="18">
        <f t="shared" si="1"/>
        <v>1.1978917105893611E-5</v>
      </c>
      <c r="K114" s="18">
        <f t="shared" si="1"/>
        <v>9.6613690159895737E-6</v>
      </c>
      <c r="L114" s="18">
        <f t="shared" si="1"/>
        <v>3.0950170225936271E-6</v>
      </c>
      <c r="M114" s="18">
        <f t="shared" si="1"/>
        <v>0</v>
      </c>
      <c r="N114" s="15"/>
    </row>
    <row r="115" spans="1:14" x14ac:dyDescent="0.2">
      <c r="B115" s="13" t="s">
        <v>79</v>
      </c>
    </row>
    <row r="116" spans="1:14" x14ac:dyDescent="0.2">
      <c r="B116" s="20">
        <f>IF(B102=E102,E105,IF(B102=F102,F105,IF(B102=G102,G105,IF(B102=H102,H105,(IF(B102=I102,I105,"**Not a valid choice for household size**"))))))</f>
        <v>2323</v>
      </c>
    </row>
    <row r="117" spans="1:14" x14ac:dyDescent="0.2">
      <c r="B117" s="13" t="s">
        <v>66</v>
      </c>
    </row>
    <row r="118" spans="1:14" x14ac:dyDescent="0.2">
      <c r="B118" s="16">
        <f>IF(B102=E102,E104,IF(B102=F102,F104,IF(B102=G102,G104,IF(B102=H102,H104,IF(B102=I102,I104,"**Not a valid choice for household size**")))))</f>
        <v>35889</v>
      </c>
    </row>
    <row r="119" spans="1:14" ht="16" customHeight="1" x14ac:dyDescent="0.2">
      <c r="B119" s="40" t="s">
        <v>78</v>
      </c>
      <c r="C119" s="40"/>
      <c r="D119" s="40"/>
      <c r="E119" s="40"/>
      <c r="F119" s="40"/>
      <c r="G119" s="40"/>
      <c r="H119" s="40"/>
    </row>
    <row r="120" spans="1:14" x14ac:dyDescent="0.2">
      <c r="B120" s="16" t="s">
        <v>80</v>
      </c>
    </row>
    <row r="121" spans="1:14" x14ac:dyDescent="0.2">
      <c r="B121" s="20">
        <f>IF(B107="","**Not a valid choice for household income**",IF(B107&lt;E110,E112,IF(B107&lt;F110,E112+E113*(B107-E110),IF(B107&lt;G110,F112+F113*(B107-F110),IF(B107&lt;H110,G112+G113*(B107-G110),IF(B107&lt;I110,H112+H113*(B107-H110),IF(B107&lt;J110,I112+I113*(B107-I110),IF(B107&lt;K110,J112+J113*(B107-J110),IF(B107&lt;L110,K112+K113*(B107-K110),IF(B107&lt;M110,L112+L113*(B107-L110),IF(B107&lt;N110,M112+M113*(B107-M110),N112+M113*(B107-N110))))))))))))</f>
        <v>2449</v>
      </c>
    </row>
    <row r="122" spans="1:14" x14ac:dyDescent="0.2">
      <c r="B122" s="13" t="s">
        <v>83</v>
      </c>
    </row>
    <row r="123" spans="1:14" x14ac:dyDescent="0.2">
      <c r="B123" s="31">
        <f>IF(B107="","**Not a valid choice for household income**",IF(B107&lt;E110,E111,IF(B107&lt;F110,E111+E114*(B107-E110),IF(B107&lt;G110,F111+F114*(B107-F110),IF(B107&lt;H110,G111+G114*(B107-G110),IF(B107&lt;I110,H111+H114*(B107-H110),IF(B107&lt;J110,I111+I114*(B107-I110),IF(B107&lt;K110,J111+J114*(B107-J110),IF(B107&lt;L110,K111+K114*(B107-K110),IF(B107&lt;M110,L111+L114*(B107-L110),IF(B107&lt;N110,M111+M114*(B107-M110),N111)))))))))))</f>
        <v>1.6</v>
      </c>
    </row>
    <row r="124" spans="1:14" ht="16" customHeight="1" x14ac:dyDescent="0.2">
      <c r="B124" s="40" t="s">
        <v>78</v>
      </c>
      <c r="C124" s="40"/>
      <c r="D124" s="40"/>
      <c r="E124" s="40"/>
      <c r="F124" s="40"/>
      <c r="G124" s="40"/>
      <c r="H124" s="40"/>
    </row>
    <row r="125" spans="1:14" ht="50" customHeight="1" x14ac:dyDescent="0.2">
      <c r="B125" s="41" t="s">
        <v>113</v>
      </c>
      <c r="C125" s="41"/>
      <c r="D125" s="41"/>
      <c r="E125" s="41"/>
      <c r="F125" s="41"/>
      <c r="G125" s="41"/>
      <c r="H125" s="41"/>
    </row>
    <row r="126" spans="1:14" x14ac:dyDescent="0.2">
      <c r="A126" s="13" t="s">
        <v>54</v>
      </c>
    </row>
    <row r="127" spans="1:14" x14ac:dyDescent="0.2">
      <c r="A127" s="32">
        <f>IF(ISNUMBER(AVERAGE(B116,B121)),AVERAGE(B116,B121),0)</f>
        <v>2386</v>
      </c>
    </row>
    <row r="128" spans="1:14" x14ac:dyDescent="0.2">
      <c r="A128" s="13" t="s">
        <v>169</v>
      </c>
    </row>
    <row r="129" spans="1:8" x14ac:dyDescent="0.2">
      <c r="A129" s="33">
        <v>1.7500000000000002E-2</v>
      </c>
    </row>
    <row r="130" spans="1:8" s="1" customFormat="1" x14ac:dyDescent="0.2">
      <c r="A130" s="1" t="s">
        <v>56</v>
      </c>
    </row>
    <row r="131" spans="1:8" s="1" customFormat="1" x14ac:dyDescent="0.2">
      <c r="A131" s="20">
        <f>A129*A127/(1+A129)</f>
        <v>41.036855036855037</v>
      </c>
    </row>
    <row r="133" spans="1:8" x14ac:dyDescent="0.2">
      <c r="A133" s="23" t="s">
        <v>137</v>
      </c>
    </row>
    <row r="134" spans="1:8" x14ac:dyDescent="0.2">
      <c r="A134" s="13" t="s">
        <v>55</v>
      </c>
    </row>
    <row r="135" spans="1:8" x14ac:dyDescent="0.2">
      <c r="A135" s="34">
        <f>A66</f>
        <v>0</v>
      </c>
      <c r="B135" s="34" t="str">
        <f>B66</f>
        <v>ccf per year</v>
      </c>
    </row>
    <row r="136" spans="1:8" x14ac:dyDescent="0.2">
      <c r="A136" s="13" t="s">
        <v>166</v>
      </c>
    </row>
    <row r="137" spans="1:8" x14ac:dyDescent="0.2">
      <c r="A137" s="10">
        <v>9.0500000000000007</v>
      </c>
      <c r="B137" s="13" t="s">
        <v>182</v>
      </c>
      <c r="D137" s="13" t="s">
        <v>29</v>
      </c>
    </row>
    <row r="138" spans="1:8" x14ac:dyDescent="0.2">
      <c r="A138" s="13" t="s">
        <v>30</v>
      </c>
    </row>
    <row r="139" spans="1:8" x14ac:dyDescent="0.2">
      <c r="A139" s="16">
        <f>A135*A137/10</f>
        <v>0</v>
      </c>
    </row>
    <row r="140" spans="1:8" x14ac:dyDescent="0.2">
      <c r="A140" s="13" t="s">
        <v>91</v>
      </c>
      <c r="B140" s="10"/>
    </row>
    <row r="141" spans="1:8" x14ac:dyDescent="0.2">
      <c r="A141" s="9">
        <f>A139</f>
        <v>0</v>
      </c>
      <c r="B141" s="13" t="s">
        <v>28</v>
      </c>
    </row>
    <row r="142" spans="1:8" ht="32" customHeight="1" x14ac:dyDescent="0.2">
      <c r="A142" s="41" t="s">
        <v>172</v>
      </c>
      <c r="B142" s="41"/>
      <c r="C142" s="41"/>
      <c r="D142" s="41"/>
      <c r="E142" s="41"/>
      <c r="F142" s="41"/>
      <c r="G142" s="41"/>
      <c r="H142" s="41"/>
    </row>
    <row r="143" spans="1:8" x14ac:dyDescent="0.2">
      <c r="A143" s="13" t="s">
        <v>170</v>
      </c>
    </row>
    <row r="144" spans="1:8" x14ac:dyDescent="0.2">
      <c r="A144" s="33">
        <v>0.02</v>
      </c>
    </row>
    <row r="145" spans="1:8" x14ac:dyDescent="0.2">
      <c r="A145" s="1" t="s">
        <v>56</v>
      </c>
      <c r="B145" s="1"/>
    </row>
    <row r="146" spans="1:8" x14ac:dyDescent="0.2">
      <c r="A146" s="20">
        <f>A144*A141/(1+A144)</f>
        <v>0</v>
      </c>
    </row>
    <row r="147" spans="1:8" x14ac:dyDescent="0.2">
      <c r="A147" s="13" t="s">
        <v>92</v>
      </c>
      <c r="B147" s="11"/>
    </row>
    <row r="148" spans="1:8" x14ac:dyDescent="0.2">
      <c r="A148" s="22">
        <f>A70</f>
        <v>0</v>
      </c>
    </row>
    <row r="149" spans="1:8" x14ac:dyDescent="0.2">
      <c r="B149" s="35"/>
    </row>
    <row r="150" spans="1:8" x14ac:dyDescent="0.2">
      <c r="A150" s="23" t="s">
        <v>138</v>
      </c>
    </row>
    <row r="151" spans="1:8" x14ac:dyDescent="0.2">
      <c r="A151" s="13" t="s">
        <v>57</v>
      </c>
    </row>
    <row r="152" spans="1:8" x14ac:dyDescent="0.2">
      <c r="A152" s="34">
        <f>A82</f>
        <v>0</v>
      </c>
      <c r="B152" s="34" t="str">
        <f>B82</f>
        <v>kWh per year</v>
      </c>
    </row>
    <row r="153" spans="1:8" x14ac:dyDescent="0.2">
      <c r="A153" s="13" t="s">
        <v>166</v>
      </c>
    </row>
    <row r="154" spans="1:8" x14ac:dyDescent="0.2">
      <c r="A154" s="12">
        <v>10.95</v>
      </c>
      <c r="B154" s="13" t="s">
        <v>149</v>
      </c>
      <c r="E154" s="13" t="s">
        <v>154</v>
      </c>
    </row>
    <row r="155" spans="1:8" x14ac:dyDescent="0.2">
      <c r="A155" s="13" t="s">
        <v>31</v>
      </c>
    </row>
    <row r="156" spans="1:8" x14ac:dyDescent="0.2">
      <c r="A156" s="16">
        <f>A152*A154/100</f>
        <v>0</v>
      </c>
    </row>
    <row r="157" spans="1:8" x14ac:dyDescent="0.2">
      <c r="A157" s="13" t="s">
        <v>73</v>
      </c>
      <c r="B157" s="10"/>
    </row>
    <row r="158" spans="1:8" x14ac:dyDescent="0.2">
      <c r="A158" s="9">
        <f>A156</f>
        <v>0</v>
      </c>
      <c r="B158" s="13" t="s">
        <v>28</v>
      </c>
    </row>
    <row r="159" spans="1:8" ht="32" customHeight="1" x14ac:dyDescent="0.2">
      <c r="A159" s="41" t="s">
        <v>173</v>
      </c>
      <c r="B159" s="41"/>
      <c r="C159" s="41"/>
      <c r="D159" s="41"/>
      <c r="E159" s="41"/>
      <c r="F159" s="41"/>
      <c r="G159" s="41"/>
      <c r="H159" s="41"/>
    </row>
    <row r="160" spans="1:8" x14ac:dyDescent="0.2">
      <c r="A160" s="13" t="s">
        <v>170</v>
      </c>
    </row>
    <row r="161" spans="1:8" x14ac:dyDescent="0.2">
      <c r="A161" s="33">
        <v>0.02</v>
      </c>
    </row>
    <row r="162" spans="1:8" x14ac:dyDescent="0.2">
      <c r="A162" s="1" t="s">
        <v>56</v>
      </c>
      <c r="B162" s="1"/>
    </row>
    <row r="163" spans="1:8" x14ac:dyDescent="0.2">
      <c r="A163" s="20">
        <f>A161*A156/(1+A161)</f>
        <v>0</v>
      </c>
    </row>
    <row r="164" spans="1:8" x14ac:dyDescent="0.2">
      <c r="A164" s="13" t="s">
        <v>93</v>
      </c>
      <c r="B164" s="11"/>
    </row>
    <row r="165" spans="1:8" x14ac:dyDescent="0.2">
      <c r="A165" s="22">
        <f>A86</f>
        <v>0</v>
      </c>
    </row>
    <row r="167" spans="1:8" x14ac:dyDescent="0.2">
      <c r="A167" s="23" t="s">
        <v>139</v>
      </c>
    </row>
    <row r="168" spans="1:8" ht="16" customHeight="1" x14ac:dyDescent="0.2">
      <c r="A168" s="41" t="s">
        <v>94</v>
      </c>
      <c r="B168" s="41"/>
      <c r="C168" s="41"/>
      <c r="D168" s="41"/>
      <c r="E168" s="41"/>
      <c r="F168" s="41"/>
      <c r="G168" s="41"/>
      <c r="H168" s="41"/>
    </row>
    <row r="169" spans="1:8" ht="51" customHeight="1" x14ac:dyDescent="0.2">
      <c r="A169" s="40" t="s">
        <v>59</v>
      </c>
      <c r="B169" s="40"/>
      <c r="C169" s="40"/>
      <c r="D169" s="40"/>
      <c r="E169" s="40"/>
      <c r="F169" s="40"/>
      <c r="G169" s="40"/>
      <c r="H169" s="40"/>
    </row>
    <row r="170" spans="1:8" x14ac:dyDescent="0.2">
      <c r="C170" s="30" t="s">
        <v>37</v>
      </c>
      <c r="D170" s="30" t="s">
        <v>34</v>
      </c>
      <c r="E170" s="30" t="s">
        <v>35</v>
      </c>
      <c r="F170" s="30" t="s">
        <v>36</v>
      </c>
      <c r="H170" s="13" t="s">
        <v>38</v>
      </c>
    </row>
    <row r="171" spans="1:8" x14ac:dyDescent="0.2">
      <c r="A171" s="13" t="s">
        <v>32</v>
      </c>
      <c r="C171" s="22">
        <v>21370</v>
      </c>
      <c r="D171" s="22">
        <v>46884</v>
      </c>
      <c r="E171" s="22">
        <v>52493</v>
      </c>
      <c r="F171" s="22">
        <v>55952</v>
      </c>
    </row>
    <row r="172" spans="1:8" x14ac:dyDescent="0.2">
      <c r="A172" s="13" t="s">
        <v>33</v>
      </c>
      <c r="C172" s="22">
        <v>15570</v>
      </c>
      <c r="D172" s="22">
        <v>41094</v>
      </c>
      <c r="E172" s="22">
        <v>46703</v>
      </c>
      <c r="F172" s="22">
        <v>50162</v>
      </c>
    </row>
    <row r="173" spans="1:8" x14ac:dyDescent="0.2">
      <c r="C173" s="22"/>
      <c r="D173" s="22"/>
      <c r="E173" s="22"/>
      <c r="F173" s="22"/>
    </row>
    <row r="174" spans="1:8" ht="32" customHeight="1" x14ac:dyDescent="0.2">
      <c r="A174" s="40" t="s">
        <v>58</v>
      </c>
      <c r="B174" s="40"/>
      <c r="C174" s="40"/>
      <c r="D174" s="40"/>
      <c r="E174" s="40"/>
      <c r="F174" s="40"/>
      <c r="G174" s="40"/>
      <c r="H174" s="40"/>
    </row>
    <row r="175" spans="1:8" x14ac:dyDescent="0.2">
      <c r="A175" s="36" t="s">
        <v>99</v>
      </c>
    </row>
    <row r="176" spans="1:8" x14ac:dyDescent="0.2">
      <c r="C176" s="22"/>
      <c r="D176" s="22"/>
      <c r="E176" s="22"/>
      <c r="F176" s="22"/>
    </row>
    <row r="177" spans="1:8" x14ac:dyDescent="0.2">
      <c r="A177" s="13" t="s">
        <v>61</v>
      </c>
    </row>
    <row r="178" spans="1:8" x14ac:dyDescent="0.2">
      <c r="C178" s="30" t="s">
        <v>37</v>
      </c>
      <c r="D178" s="30" t="s">
        <v>34</v>
      </c>
      <c r="E178" s="30" t="s">
        <v>35</v>
      </c>
      <c r="F178" s="30" t="s">
        <v>36</v>
      </c>
      <c r="H178" s="13" t="s">
        <v>38</v>
      </c>
    </row>
    <row r="179" spans="1:8" x14ac:dyDescent="0.2">
      <c r="A179" s="13" t="s">
        <v>60</v>
      </c>
      <c r="C179" s="22">
        <v>529</v>
      </c>
      <c r="D179" s="22">
        <v>3526</v>
      </c>
      <c r="E179" s="22">
        <v>5828</v>
      </c>
      <c r="F179" s="22">
        <v>6557</v>
      </c>
    </row>
    <row r="180" spans="1:8" x14ac:dyDescent="0.2">
      <c r="A180" s="13" t="s">
        <v>117</v>
      </c>
      <c r="C180" s="22">
        <f>C179/10</f>
        <v>52.9</v>
      </c>
      <c r="D180" s="22">
        <f t="shared" ref="D180:F180" si="2">D179/10</f>
        <v>352.6</v>
      </c>
      <c r="E180" s="22">
        <f t="shared" si="2"/>
        <v>582.79999999999995</v>
      </c>
      <c r="F180" s="22">
        <f t="shared" si="2"/>
        <v>655.7</v>
      </c>
    </row>
    <row r="181" spans="1:8" x14ac:dyDescent="0.2">
      <c r="C181" s="22"/>
      <c r="D181" s="22"/>
      <c r="E181" s="22"/>
      <c r="F181" s="22"/>
    </row>
    <row r="182" spans="1:8" ht="32" customHeight="1" x14ac:dyDescent="0.2">
      <c r="A182" s="41" t="s">
        <v>96</v>
      </c>
      <c r="B182" s="41"/>
      <c r="C182" s="41"/>
      <c r="D182" s="41"/>
      <c r="E182" s="41"/>
      <c r="F182" s="41"/>
      <c r="G182" s="41"/>
      <c r="H182" s="41"/>
    </row>
    <row r="183" spans="1:8" x14ac:dyDescent="0.2">
      <c r="A183" s="13" t="s">
        <v>95</v>
      </c>
    </row>
    <row r="184" spans="1:8" x14ac:dyDescent="0.2">
      <c r="A184" s="9">
        <v>0</v>
      </c>
    </row>
    <row r="185" spans="1:8" x14ac:dyDescent="0.2">
      <c r="A185" s="1" t="s">
        <v>39</v>
      </c>
      <c r="B185" s="1"/>
    </row>
    <row r="186" spans="1:8" x14ac:dyDescent="0.2">
      <c r="A186" s="21">
        <f>A184/10</f>
        <v>0</v>
      </c>
    </row>
    <row r="188" spans="1:8" x14ac:dyDescent="0.2">
      <c r="A188" s="23" t="s">
        <v>140</v>
      </c>
    </row>
    <row r="189" spans="1:8" ht="47" customHeight="1" x14ac:dyDescent="0.2">
      <c r="A189" s="41" t="s">
        <v>101</v>
      </c>
      <c r="B189" s="41"/>
      <c r="C189" s="41"/>
      <c r="D189" s="41"/>
      <c r="E189" s="41"/>
      <c r="F189" s="41"/>
      <c r="G189" s="41"/>
      <c r="H189" s="41"/>
    </row>
    <row r="190" spans="1:8" x14ac:dyDescent="0.2">
      <c r="A190" s="13" t="s">
        <v>100</v>
      </c>
    </row>
    <row r="191" spans="1:8" x14ac:dyDescent="0.2">
      <c r="A191" s="6"/>
      <c r="B191" s="25" t="s">
        <v>41</v>
      </c>
      <c r="C191" s="25">
        <v>0</v>
      </c>
      <c r="D191" s="25">
        <v>1</v>
      </c>
      <c r="E191" s="25">
        <v>2</v>
      </c>
    </row>
    <row r="192" spans="1:8" x14ac:dyDescent="0.2">
      <c r="A192" s="13" t="s">
        <v>112</v>
      </c>
    </row>
    <row r="193" spans="1:8" x14ac:dyDescent="0.2">
      <c r="A193" s="6"/>
      <c r="B193" s="25" t="s">
        <v>41</v>
      </c>
      <c r="C193" s="25">
        <v>0</v>
      </c>
      <c r="D193" s="25">
        <v>1</v>
      </c>
      <c r="E193" s="25">
        <v>2</v>
      </c>
    </row>
    <row r="194" spans="1:8" x14ac:dyDescent="0.2">
      <c r="A194" s="13" t="s">
        <v>40</v>
      </c>
    </row>
    <row r="195" spans="1:8" ht="64" customHeight="1" x14ac:dyDescent="0.2">
      <c r="A195" s="37"/>
      <c r="B195" s="38" t="s">
        <v>108</v>
      </c>
      <c r="C195" s="38" t="s">
        <v>45</v>
      </c>
      <c r="D195" s="38" t="s">
        <v>42</v>
      </c>
      <c r="E195" s="38" t="s">
        <v>43</v>
      </c>
      <c r="F195" s="41" t="s">
        <v>176</v>
      </c>
      <c r="G195" s="41"/>
      <c r="H195" s="41"/>
    </row>
    <row r="196" spans="1:8" x14ac:dyDescent="0.2">
      <c r="A196" s="13" t="s">
        <v>44</v>
      </c>
    </row>
    <row r="197" spans="1:8" x14ac:dyDescent="0.2">
      <c r="A197" s="8">
        <v>0</v>
      </c>
    </row>
    <row r="198" spans="1:8" x14ac:dyDescent="0.2">
      <c r="A198" s="13" t="s">
        <v>46</v>
      </c>
    </row>
    <row r="199" spans="1:8" x14ac:dyDescent="0.2">
      <c r="A199" s="16">
        <f>IF(A$195=C$195,C199,IF(A$195=D$195,D199,IF(A$195=E$195,E199,0)))</f>
        <v>0</v>
      </c>
      <c r="B199" s="13" t="s">
        <v>41</v>
      </c>
      <c r="C199" s="16">
        <f>MAX(0,$A$193*450-0.025*(MAX(0,$A$197-32000)))</f>
        <v>0</v>
      </c>
      <c r="D199" s="16">
        <f>MAX(0,$A$193*450-0.025*(MAX(0,$A$197-16000)))</f>
        <v>0</v>
      </c>
      <c r="E199" s="16">
        <f>MAX(0,$A$193*450-0.025*(MAX(0,$A$197-25000)))</f>
        <v>0</v>
      </c>
      <c r="G199" s="2"/>
    </row>
    <row r="200" spans="1:8" x14ac:dyDescent="0.2">
      <c r="A200" s="13" t="s">
        <v>47</v>
      </c>
      <c r="D200" s="16"/>
      <c r="E200" s="16"/>
      <c r="F200" s="16"/>
    </row>
    <row r="201" spans="1:8" x14ac:dyDescent="0.2">
      <c r="A201" s="16">
        <f>IF(A$195=C$195,C201,IF(A$195=D$195,D201,IF(A$195=E$195,E201,0)))</f>
        <v>0</v>
      </c>
      <c r="B201" s="13" t="s">
        <v>41</v>
      </c>
      <c r="C201" s="16">
        <f>MAX(0,$A$191*650-0.025*(MAX(0,$A$197-32000)))</f>
        <v>0</v>
      </c>
      <c r="D201" s="16">
        <f>MAX(0,$A$191*650-0.025*(MAX(0,$A$197-16000)))</f>
        <v>0</v>
      </c>
      <c r="E201" s="16">
        <f>MAX(0,$A$191*650-0.025*(MAX(0,$A$197-25000)))</f>
        <v>0</v>
      </c>
    </row>
    <row r="202" spans="1:8" x14ac:dyDescent="0.2">
      <c r="A202" s="1" t="s">
        <v>48</v>
      </c>
      <c r="B202" s="1"/>
    </row>
    <row r="203" spans="1:8" x14ac:dyDescent="0.2">
      <c r="A203" s="21">
        <f>A201-A199</f>
        <v>0</v>
      </c>
    </row>
    <row r="205" spans="1:8" x14ac:dyDescent="0.2">
      <c r="A205" s="13" t="s">
        <v>102</v>
      </c>
    </row>
    <row r="206" spans="1:8" x14ac:dyDescent="0.2">
      <c r="A206" s="21">
        <f>SUM(A207:A211)</f>
        <v>41.036855036855037</v>
      </c>
      <c r="B206" s="1" t="s">
        <v>109</v>
      </c>
    </row>
    <row r="207" spans="1:8" x14ac:dyDescent="0.2">
      <c r="A207" s="22">
        <f>A131</f>
        <v>41.036855036855037</v>
      </c>
      <c r="B207" s="13" t="s">
        <v>103</v>
      </c>
    </row>
    <row r="208" spans="1:8" x14ac:dyDescent="0.2">
      <c r="A208" s="22">
        <f>A146</f>
        <v>0</v>
      </c>
      <c r="B208" s="13" t="s">
        <v>104</v>
      </c>
    </row>
    <row r="209" spans="1:2" x14ac:dyDescent="0.2">
      <c r="A209" s="22">
        <f>A163</f>
        <v>0</v>
      </c>
      <c r="B209" s="13" t="s">
        <v>105</v>
      </c>
    </row>
    <row r="210" spans="1:2" x14ac:dyDescent="0.2">
      <c r="A210" s="22">
        <f>A186</f>
        <v>0</v>
      </c>
      <c r="B210" s="13" t="s">
        <v>106</v>
      </c>
    </row>
    <row r="211" spans="1:2" x14ac:dyDescent="0.2">
      <c r="A211" s="22">
        <f>A203</f>
        <v>0</v>
      </c>
      <c r="B211" s="13" t="s">
        <v>107</v>
      </c>
    </row>
    <row r="213" spans="1:2" x14ac:dyDescent="0.2">
      <c r="A213" s="13" t="s">
        <v>111</v>
      </c>
    </row>
    <row r="214" spans="1:2" x14ac:dyDescent="0.2">
      <c r="A214" s="21">
        <f>A89</f>
        <v>0</v>
      </c>
      <c r="B214" s="14" t="str">
        <f>B89</f>
        <v>Total carbon tax payments</v>
      </c>
    </row>
    <row r="215" spans="1:2" x14ac:dyDescent="0.2">
      <c r="A215" s="22">
        <f t="shared" ref="A215:B219" si="3">A90</f>
        <v>0</v>
      </c>
      <c r="B215" s="35" t="str">
        <f>B90</f>
        <v>Gasoline</v>
      </c>
    </row>
    <row r="216" spans="1:2" x14ac:dyDescent="0.2">
      <c r="A216" s="22">
        <f t="shared" si="3"/>
        <v>0</v>
      </c>
      <c r="B216" s="35" t="str">
        <f t="shared" si="3"/>
        <v>On-road diesel</v>
      </c>
    </row>
    <row r="217" spans="1:2" x14ac:dyDescent="0.2">
      <c r="A217" s="22">
        <f t="shared" si="3"/>
        <v>0</v>
      </c>
      <c r="B217" s="35" t="str">
        <f t="shared" si="3"/>
        <v>Jet fuel</v>
      </c>
    </row>
    <row r="218" spans="1:2" x14ac:dyDescent="0.2">
      <c r="A218" s="22">
        <f t="shared" si="3"/>
        <v>0</v>
      </c>
      <c r="B218" s="35" t="str">
        <f t="shared" si="3"/>
        <v>Natural gas</v>
      </c>
    </row>
    <row r="219" spans="1:2" x14ac:dyDescent="0.2">
      <c r="A219" s="22">
        <f t="shared" si="3"/>
        <v>0</v>
      </c>
      <c r="B219" s="35" t="str">
        <f t="shared" si="3"/>
        <v>Electricity</v>
      </c>
    </row>
  </sheetData>
  <mergeCells count="15">
    <mergeCell ref="A41:H41"/>
    <mergeCell ref="A98:H98"/>
    <mergeCell ref="F195:H195"/>
    <mergeCell ref="B119:H119"/>
    <mergeCell ref="B124:H124"/>
    <mergeCell ref="B125:H125"/>
    <mergeCell ref="A142:H142"/>
    <mergeCell ref="A159:H159"/>
    <mergeCell ref="A168:H168"/>
    <mergeCell ref="A169:H169"/>
    <mergeCell ref="A174:H174"/>
    <mergeCell ref="A182:H182"/>
    <mergeCell ref="A189:H189"/>
    <mergeCell ref="A54:G54"/>
    <mergeCell ref="A74:G74"/>
  </mergeCells>
  <hyperlinks>
    <hyperlink ref="A175" r:id="rId1" xr:uid="{7697D1F9-B00A-9E43-981A-C33066B29F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B5A9E-4112-9741-8D1D-BF2E7BF48B04}">
  <dimension ref="A1:H151"/>
  <sheetViews>
    <sheetView zoomScale="200" zoomScaleNormal="200" workbookViewId="0">
      <selection activeCell="A8" sqref="A8"/>
    </sheetView>
  </sheetViews>
  <sheetFormatPr baseColWidth="10" defaultRowHeight="16" x14ac:dyDescent="0.2"/>
  <cols>
    <col min="1" max="1" width="12.6640625" style="13" bestFit="1" customWidth="1"/>
    <col min="2" max="2" width="16.83203125" style="13" customWidth="1"/>
    <col min="3" max="4" width="14.33203125" style="13" bestFit="1" customWidth="1"/>
    <col min="5" max="5" width="9.83203125" style="13" customWidth="1"/>
    <col min="6" max="6" width="10.33203125" style="13" customWidth="1"/>
    <col min="7" max="8" width="9.6640625" style="13" customWidth="1"/>
    <col min="9" max="9" width="9.5" style="13" customWidth="1"/>
    <col min="10" max="10" width="9" style="13" customWidth="1"/>
    <col min="11" max="11" width="8.6640625" style="13" customWidth="1"/>
    <col min="12" max="12" width="9.1640625" style="13" customWidth="1"/>
    <col min="13" max="14" width="9.5" style="13" customWidth="1"/>
    <col min="15" max="16384" width="10.83203125" style="13"/>
  </cols>
  <sheetData>
    <row r="1" spans="1:7" x14ac:dyDescent="0.2">
      <c r="A1" s="1" t="s">
        <v>119</v>
      </c>
    </row>
    <row r="3" spans="1:7" x14ac:dyDescent="0.2">
      <c r="A3" s="25" t="s">
        <v>85</v>
      </c>
      <c r="B3" s="25"/>
      <c r="C3" s="25"/>
    </row>
    <row r="4" spans="1:7" x14ac:dyDescent="0.2">
      <c r="A4" s="25" t="s">
        <v>116</v>
      </c>
      <c r="B4" s="25"/>
      <c r="C4" s="25"/>
    </row>
    <row r="5" spans="1:7" x14ac:dyDescent="0.2">
      <c r="A5" s="26"/>
      <c r="B5" s="26"/>
      <c r="C5" s="26"/>
    </row>
    <row r="6" spans="1:7" x14ac:dyDescent="0.2">
      <c r="A6" s="23" t="s">
        <v>0</v>
      </c>
      <c r="B6" s="24"/>
    </row>
    <row r="7" spans="1:7" x14ac:dyDescent="0.2">
      <c r="A7" s="13" t="s">
        <v>120</v>
      </c>
    </row>
    <row r="8" spans="1:7" x14ac:dyDescent="0.2">
      <c r="A8" s="6">
        <v>0</v>
      </c>
      <c r="B8" s="13" t="s">
        <v>1</v>
      </c>
    </row>
    <row r="9" spans="1:7" x14ac:dyDescent="0.2">
      <c r="B9" s="25" t="s">
        <v>97</v>
      </c>
      <c r="C9" s="25"/>
      <c r="D9" s="25"/>
      <c r="E9" s="25"/>
      <c r="F9" s="25"/>
      <c r="G9" s="25"/>
    </row>
    <row r="10" spans="1:7" x14ac:dyDescent="0.2">
      <c r="B10" s="13" t="s">
        <v>121</v>
      </c>
    </row>
    <row r="11" spans="1:7" x14ac:dyDescent="0.2">
      <c r="B11" s="6">
        <v>0</v>
      </c>
      <c r="C11" s="13" t="s">
        <v>53</v>
      </c>
    </row>
    <row r="12" spans="1:7" x14ac:dyDescent="0.2">
      <c r="B12" s="13" t="s">
        <v>122</v>
      </c>
    </row>
    <row r="13" spans="1:7" x14ac:dyDescent="0.2">
      <c r="B13" s="6">
        <v>25</v>
      </c>
      <c r="C13" s="13" t="s">
        <v>2</v>
      </c>
    </row>
    <row r="14" spans="1:7" x14ac:dyDescent="0.2">
      <c r="B14" s="13" t="s">
        <v>17</v>
      </c>
    </row>
    <row r="15" spans="1:7" x14ac:dyDescent="0.2">
      <c r="B15" s="3">
        <f>IF(B13=0,0,B11/B13)</f>
        <v>0</v>
      </c>
      <c r="C15" s="13" t="s">
        <v>4</v>
      </c>
    </row>
    <row r="16" spans="1:7" x14ac:dyDescent="0.2">
      <c r="A16" s="13" t="s">
        <v>74</v>
      </c>
    </row>
    <row r="17" spans="1:7" x14ac:dyDescent="0.2">
      <c r="A17" s="3">
        <f>IF(A8=0,B15,A8)</f>
        <v>0</v>
      </c>
      <c r="B17" s="13" t="s">
        <v>4</v>
      </c>
    </row>
    <row r="18" spans="1:7" x14ac:dyDescent="0.2">
      <c r="A18" s="13" t="s">
        <v>18</v>
      </c>
    </row>
    <row r="19" spans="1:7" x14ac:dyDescent="0.2">
      <c r="A19" s="13">
        <v>8.89</v>
      </c>
      <c r="B19" s="13" t="s">
        <v>19</v>
      </c>
    </row>
    <row r="20" spans="1:7" s="1" customFormat="1" x14ac:dyDescent="0.2">
      <c r="A20" s="1" t="s">
        <v>160</v>
      </c>
    </row>
    <row r="21" spans="1:7" s="1" customFormat="1" x14ac:dyDescent="0.2">
      <c r="A21" s="20">
        <f>A17*A19/100</f>
        <v>0</v>
      </c>
      <c r="D21" s="4"/>
    </row>
    <row r="23" spans="1:7" x14ac:dyDescent="0.2">
      <c r="A23" s="23" t="s">
        <v>141</v>
      </c>
      <c r="B23" s="24"/>
    </row>
    <row r="24" spans="1:7" x14ac:dyDescent="0.2">
      <c r="A24" s="13" t="s">
        <v>156</v>
      </c>
    </row>
    <row r="25" spans="1:7" x14ac:dyDescent="0.2">
      <c r="A25" s="6"/>
      <c r="B25" s="13" t="s">
        <v>1</v>
      </c>
    </row>
    <row r="26" spans="1:7" x14ac:dyDescent="0.2">
      <c r="B26" s="25" t="s">
        <v>97</v>
      </c>
      <c r="C26" s="25"/>
      <c r="D26" s="25"/>
      <c r="E26" s="25"/>
      <c r="F26" s="25"/>
      <c r="G26" s="25"/>
    </row>
    <row r="27" spans="1:7" x14ac:dyDescent="0.2">
      <c r="B27" s="13" t="s">
        <v>157</v>
      </c>
    </row>
    <row r="28" spans="1:7" x14ac:dyDescent="0.2">
      <c r="B28" s="6">
        <v>0</v>
      </c>
      <c r="C28" s="13" t="s">
        <v>53</v>
      </c>
    </row>
    <row r="29" spans="1:7" x14ac:dyDescent="0.2">
      <c r="B29" s="13" t="s">
        <v>142</v>
      </c>
    </row>
    <row r="30" spans="1:7" x14ac:dyDescent="0.2">
      <c r="B30" s="6">
        <v>25</v>
      </c>
      <c r="C30" s="13" t="s">
        <v>2</v>
      </c>
    </row>
    <row r="31" spans="1:7" x14ac:dyDescent="0.2">
      <c r="B31" s="13" t="s">
        <v>129</v>
      </c>
    </row>
    <row r="32" spans="1:7" x14ac:dyDescent="0.2">
      <c r="B32" s="3">
        <f>IF(B30=0,0,B28/B30)</f>
        <v>0</v>
      </c>
      <c r="C32" s="13" t="s">
        <v>4</v>
      </c>
    </row>
    <row r="33" spans="1:8" x14ac:dyDescent="0.2">
      <c r="A33" s="13" t="s">
        <v>130</v>
      </c>
    </row>
    <row r="34" spans="1:8" x14ac:dyDescent="0.2">
      <c r="A34" s="3">
        <f>IF(A25=0,B32,A25)</f>
        <v>0</v>
      </c>
      <c r="B34" s="13" t="s">
        <v>4</v>
      </c>
    </row>
    <row r="35" spans="1:8" x14ac:dyDescent="0.2">
      <c r="A35" s="13" t="s">
        <v>18</v>
      </c>
    </row>
    <row r="36" spans="1:8" x14ac:dyDescent="0.2">
      <c r="A36" s="13">
        <v>10.16</v>
      </c>
      <c r="B36" s="13" t="s">
        <v>131</v>
      </c>
    </row>
    <row r="37" spans="1:8" s="1" customFormat="1" x14ac:dyDescent="0.2">
      <c r="A37" s="1" t="s">
        <v>159</v>
      </c>
    </row>
    <row r="38" spans="1:8" s="1" customFormat="1" x14ac:dyDescent="0.2">
      <c r="A38" s="20">
        <f>A34*A36/100</f>
        <v>0</v>
      </c>
      <c r="D38" s="4"/>
    </row>
    <row r="40" spans="1:8" x14ac:dyDescent="0.2">
      <c r="A40" s="23" t="s">
        <v>132</v>
      </c>
    </row>
    <row r="41" spans="1:8" ht="35" customHeight="1" x14ac:dyDescent="0.2">
      <c r="A41" s="40" t="s">
        <v>123</v>
      </c>
      <c r="B41" s="40"/>
      <c r="C41" s="40"/>
      <c r="D41" s="40"/>
      <c r="E41" s="40"/>
      <c r="F41" s="40"/>
      <c r="G41" s="40"/>
      <c r="H41" s="40"/>
    </row>
    <row r="42" spans="1:8" x14ac:dyDescent="0.2">
      <c r="A42" s="6">
        <v>0</v>
      </c>
      <c r="B42" s="13" t="s">
        <v>53</v>
      </c>
    </row>
    <row r="43" spans="1:8" x14ac:dyDescent="0.2">
      <c r="A43" s="13" t="s">
        <v>5</v>
      </c>
    </row>
    <row r="44" spans="1:8" x14ac:dyDescent="0.2">
      <c r="A44" s="3">
        <v>60</v>
      </c>
      <c r="B44" s="13" t="s">
        <v>2</v>
      </c>
    </row>
    <row r="45" spans="1:8" x14ac:dyDescent="0.2">
      <c r="A45" s="13" t="s">
        <v>6</v>
      </c>
    </row>
    <row r="46" spans="1:8" x14ac:dyDescent="0.2">
      <c r="A46" s="3">
        <f>MAX(B22,(IF(A44=0,0,A42/A44)))</f>
        <v>0</v>
      </c>
      <c r="B46" s="13" t="s">
        <v>4</v>
      </c>
    </row>
    <row r="47" spans="1:8" x14ac:dyDescent="0.2">
      <c r="A47" s="13" t="s">
        <v>18</v>
      </c>
    </row>
    <row r="48" spans="1:8" x14ac:dyDescent="0.2">
      <c r="A48" s="13">
        <v>9.57</v>
      </c>
      <c r="B48" s="13" t="s">
        <v>20</v>
      </c>
    </row>
    <row r="49" spans="1:7" s="1" customFormat="1" x14ac:dyDescent="0.2">
      <c r="A49" s="39" t="s">
        <v>160</v>
      </c>
    </row>
    <row r="50" spans="1:7" s="1" customFormat="1" x14ac:dyDescent="0.2">
      <c r="A50" s="20">
        <f>A46*A48/100</f>
        <v>0</v>
      </c>
    </row>
    <row r="52" spans="1:7" x14ac:dyDescent="0.2">
      <c r="A52" s="23" t="s">
        <v>133</v>
      </c>
      <c r="D52" s="24"/>
    </row>
    <row r="53" spans="1:7" x14ac:dyDescent="0.2">
      <c r="A53" s="13" t="s">
        <v>124</v>
      </c>
    </row>
    <row r="54" spans="1:7" ht="64" customHeight="1" x14ac:dyDescent="0.2">
      <c r="A54" s="41" t="s">
        <v>162</v>
      </c>
      <c r="B54" s="41"/>
      <c r="C54" s="41"/>
      <c r="D54" s="41"/>
      <c r="E54" s="41"/>
      <c r="F54" s="41"/>
      <c r="G54" s="41"/>
    </row>
    <row r="55" spans="1:7" x14ac:dyDescent="0.2">
      <c r="A55" s="6">
        <v>0</v>
      </c>
      <c r="B55" s="13" t="s">
        <v>7</v>
      </c>
    </row>
    <row r="56" spans="1:7" x14ac:dyDescent="0.2">
      <c r="B56" s="25" t="s">
        <v>97</v>
      </c>
      <c r="C56" s="25"/>
      <c r="D56" s="25"/>
      <c r="E56" s="25"/>
      <c r="F56" s="25"/>
      <c r="G56" s="25"/>
    </row>
    <row r="57" spans="1:7" x14ac:dyDescent="0.2">
      <c r="B57" s="13" t="s">
        <v>125</v>
      </c>
    </row>
    <row r="58" spans="1:7" x14ac:dyDescent="0.2">
      <c r="B58" s="6">
        <v>0</v>
      </c>
      <c r="C58" s="13" t="s">
        <v>8</v>
      </c>
    </row>
    <row r="59" spans="1:7" x14ac:dyDescent="0.2">
      <c r="B59" s="13" t="s">
        <v>177</v>
      </c>
    </row>
    <row r="60" spans="1:7" x14ac:dyDescent="0.2">
      <c r="B60" s="7">
        <v>0.4</v>
      </c>
      <c r="C60" s="13" t="s">
        <v>143</v>
      </c>
      <c r="E60" s="13" t="s">
        <v>144</v>
      </c>
    </row>
    <row r="61" spans="1:7" x14ac:dyDescent="0.2">
      <c r="B61" s="13" t="s">
        <v>180</v>
      </c>
    </row>
    <row r="62" spans="1:7" x14ac:dyDescent="0.2">
      <c r="B62" s="3">
        <f>B58*B60</f>
        <v>0</v>
      </c>
      <c r="C62" s="13" t="s">
        <v>10</v>
      </c>
    </row>
    <row r="63" spans="1:7" x14ac:dyDescent="0.2">
      <c r="A63" s="13" t="s">
        <v>75</v>
      </c>
    </row>
    <row r="64" spans="1:7" x14ac:dyDescent="0.2">
      <c r="A64" s="3">
        <f>IF(A55=0,B62,A55)</f>
        <v>0</v>
      </c>
      <c r="B64" s="13" t="s">
        <v>10</v>
      </c>
    </row>
    <row r="65" spans="1:8" x14ac:dyDescent="0.2">
      <c r="A65" s="5" t="s">
        <v>18</v>
      </c>
    </row>
    <row r="66" spans="1:8" x14ac:dyDescent="0.2">
      <c r="A66" s="13">
        <v>5.3120000000000003</v>
      </c>
      <c r="B66" s="13" t="s">
        <v>9</v>
      </c>
    </row>
    <row r="67" spans="1:8" s="1" customFormat="1" x14ac:dyDescent="0.2">
      <c r="A67" s="1" t="s">
        <v>163</v>
      </c>
    </row>
    <row r="68" spans="1:8" s="1" customFormat="1" x14ac:dyDescent="0.2">
      <c r="A68" s="20">
        <f>A64*A66/100</f>
        <v>0</v>
      </c>
    </row>
    <row r="70" spans="1:8" x14ac:dyDescent="0.2">
      <c r="A70" s="23" t="s">
        <v>134</v>
      </c>
      <c r="D70" s="24"/>
    </row>
    <row r="71" spans="1:8" x14ac:dyDescent="0.2">
      <c r="A71" s="13" t="s">
        <v>150</v>
      </c>
    </row>
    <row r="72" spans="1:8" ht="48" customHeight="1" x14ac:dyDescent="0.2">
      <c r="A72" s="41" t="s">
        <v>165</v>
      </c>
      <c r="B72" s="41"/>
      <c r="C72" s="41"/>
      <c r="D72" s="41"/>
      <c r="E72" s="41"/>
      <c r="F72" s="41"/>
      <c r="G72" s="41"/>
    </row>
    <row r="73" spans="1:8" x14ac:dyDescent="0.2">
      <c r="A73" s="6"/>
      <c r="B73" s="13" t="s">
        <v>146</v>
      </c>
    </row>
    <row r="74" spans="1:8" x14ac:dyDescent="0.2">
      <c r="B74" s="25" t="s">
        <v>97</v>
      </c>
      <c r="C74" s="25"/>
      <c r="D74" s="25"/>
      <c r="E74" s="25"/>
      <c r="F74" s="25"/>
      <c r="G74" s="25"/>
    </row>
    <row r="75" spans="1:8" x14ac:dyDescent="0.2">
      <c r="B75" s="13" t="s">
        <v>125</v>
      </c>
    </row>
    <row r="76" spans="1:8" x14ac:dyDescent="0.2">
      <c r="B76" s="6">
        <f>B58</f>
        <v>0</v>
      </c>
      <c r="C76" s="13" t="s">
        <v>8</v>
      </c>
      <c r="D76" s="25" t="s">
        <v>115</v>
      </c>
      <c r="E76" s="25"/>
      <c r="F76" s="25"/>
      <c r="G76" s="25"/>
      <c r="H76" s="25"/>
    </row>
    <row r="77" spans="1:8" x14ac:dyDescent="0.2">
      <c r="B77" s="13" t="s">
        <v>178</v>
      </c>
    </row>
    <row r="78" spans="1:8" x14ac:dyDescent="0.2">
      <c r="B78" s="7">
        <v>15</v>
      </c>
      <c r="C78" s="13" t="s">
        <v>179</v>
      </c>
      <c r="E78" s="13" t="s">
        <v>145</v>
      </c>
    </row>
    <row r="79" spans="1:8" x14ac:dyDescent="0.2">
      <c r="B79" s="13" t="s">
        <v>21</v>
      </c>
    </row>
    <row r="80" spans="1:8" x14ac:dyDescent="0.2">
      <c r="B80" s="3">
        <f>B76*B78</f>
        <v>0</v>
      </c>
      <c r="C80" s="13" t="s">
        <v>146</v>
      </c>
    </row>
    <row r="81" spans="1:5" x14ac:dyDescent="0.2">
      <c r="A81" s="13" t="s">
        <v>76</v>
      </c>
    </row>
    <row r="82" spans="1:5" x14ac:dyDescent="0.2">
      <c r="A82" s="3">
        <f>IF(A73=0,B80,A73)</f>
        <v>0</v>
      </c>
      <c r="B82" s="13" t="s">
        <v>147</v>
      </c>
    </row>
    <row r="83" spans="1:5" x14ac:dyDescent="0.2">
      <c r="A83" s="13" t="s">
        <v>148</v>
      </c>
      <c r="E83" s="13" t="s">
        <v>23</v>
      </c>
    </row>
    <row r="84" spans="1:5" x14ac:dyDescent="0.2">
      <c r="A84" s="13">
        <v>0.7</v>
      </c>
      <c r="B84" s="13" t="s">
        <v>149</v>
      </c>
      <c r="E84" s="13" t="s">
        <v>24</v>
      </c>
    </row>
    <row r="85" spans="1:5" x14ac:dyDescent="0.2">
      <c r="A85" s="1" t="s">
        <v>164</v>
      </c>
      <c r="B85" s="1"/>
      <c r="C85" s="1"/>
      <c r="E85" s="13" t="s">
        <v>26</v>
      </c>
    </row>
    <row r="86" spans="1:5" x14ac:dyDescent="0.2">
      <c r="A86" s="20">
        <f>A82*A84/100</f>
        <v>0</v>
      </c>
      <c r="C86" s="1"/>
      <c r="E86" s="13" t="s">
        <v>27</v>
      </c>
    </row>
    <row r="87" spans="1:5" x14ac:dyDescent="0.2">
      <c r="A87" s="4"/>
      <c r="C87" s="1"/>
    </row>
    <row r="88" spans="1:5" x14ac:dyDescent="0.2">
      <c r="A88" s="27" t="s">
        <v>86</v>
      </c>
      <c r="B88" s="25"/>
      <c r="C88" s="19"/>
      <c r="D88" s="25"/>
    </row>
    <row r="89" spans="1:5" s="1" customFormat="1" x14ac:dyDescent="0.2">
      <c r="A89" s="21">
        <f>SUM(A90:A94)</f>
        <v>0</v>
      </c>
      <c r="B89" s="4" t="s">
        <v>110</v>
      </c>
    </row>
    <row r="90" spans="1:5" x14ac:dyDescent="0.2">
      <c r="A90" s="22">
        <f>A21</f>
        <v>0</v>
      </c>
      <c r="B90" s="2" t="s">
        <v>87</v>
      </c>
      <c r="C90" s="1"/>
    </row>
    <row r="91" spans="1:5" x14ac:dyDescent="0.2">
      <c r="A91" s="22">
        <f>A38</f>
        <v>0</v>
      </c>
      <c r="B91" s="2" t="s">
        <v>135</v>
      </c>
      <c r="C91" s="1"/>
    </row>
    <row r="92" spans="1:5" x14ac:dyDescent="0.2">
      <c r="A92" s="22">
        <f>A50</f>
        <v>0</v>
      </c>
      <c r="B92" s="2" t="s">
        <v>88</v>
      </c>
      <c r="C92" s="1"/>
    </row>
    <row r="93" spans="1:5" x14ac:dyDescent="0.2">
      <c r="A93" s="22">
        <f>A68</f>
        <v>0</v>
      </c>
      <c r="B93" s="2" t="s">
        <v>89</v>
      </c>
      <c r="C93" s="1"/>
    </row>
    <row r="94" spans="1:5" x14ac:dyDescent="0.2">
      <c r="A94" s="22">
        <f>A86</f>
        <v>0</v>
      </c>
      <c r="B94" s="2" t="s">
        <v>90</v>
      </c>
    </row>
    <row r="95" spans="1:5" x14ac:dyDescent="0.2">
      <c r="A95" s="4"/>
    </row>
    <row r="96" spans="1:5" x14ac:dyDescent="0.2">
      <c r="A96" s="4"/>
    </row>
    <row r="97" spans="1:4" x14ac:dyDescent="0.2">
      <c r="A97" s="23" t="s">
        <v>136</v>
      </c>
    </row>
    <row r="98" spans="1:4" x14ac:dyDescent="0.2">
      <c r="A98" s="13" t="s">
        <v>126</v>
      </c>
    </row>
    <row r="99" spans="1:4" x14ac:dyDescent="0.2">
      <c r="A99" s="32">
        <f>IF(ISNUMBER(AVERAGE(#REF!,#REF!)),AVERAGE(#REF!,#REF!),0)</f>
        <v>0</v>
      </c>
    </row>
    <row r="100" spans="1:4" x14ac:dyDescent="0.2">
      <c r="A100" s="13" t="s">
        <v>169</v>
      </c>
    </row>
    <row r="101" spans="1:4" x14ac:dyDescent="0.2">
      <c r="A101" s="33">
        <v>1.7500000000000002E-2</v>
      </c>
    </row>
    <row r="102" spans="1:4" s="1" customFormat="1" x14ac:dyDescent="0.2">
      <c r="A102" s="1" t="s">
        <v>56</v>
      </c>
    </row>
    <row r="103" spans="1:4" s="1" customFormat="1" x14ac:dyDescent="0.2">
      <c r="A103" s="20">
        <f>A101*A99/(1+A101)</f>
        <v>0</v>
      </c>
    </row>
    <row r="105" spans="1:4" x14ac:dyDescent="0.2">
      <c r="A105" s="23" t="s">
        <v>137</v>
      </c>
    </row>
    <row r="106" spans="1:4" x14ac:dyDescent="0.2">
      <c r="A106" s="13" t="s">
        <v>55</v>
      </c>
    </row>
    <row r="107" spans="1:4" x14ac:dyDescent="0.2">
      <c r="A107" s="34">
        <f>A64</f>
        <v>0</v>
      </c>
      <c r="B107" s="34" t="str">
        <f>B64</f>
        <v>ccf per year</v>
      </c>
    </row>
    <row r="108" spans="1:4" x14ac:dyDescent="0.2">
      <c r="A108" s="13" t="s">
        <v>168</v>
      </c>
    </row>
    <row r="109" spans="1:4" x14ac:dyDescent="0.2">
      <c r="A109" s="10">
        <v>7.37</v>
      </c>
      <c r="B109" s="13" t="s">
        <v>182</v>
      </c>
      <c r="D109" s="13" t="s">
        <v>29</v>
      </c>
    </row>
    <row r="110" spans="1:4" x14ac:dyDescent="0.2">
      <c r="A110" s="13" t="s">
        <v>30</v>
      </c>
    </row>
    <row r="111" spans="1:4" x14ac:dyDescent="0.2">
      <c r="A111" s="16">
        <f>A107*A109/10</f>
        <v>0</v>
      </c>
    </row>
    <row r="112" spans="1:4" x14ac:dyDescent="0.2">
      <c r="A112" s="13" t="s">
        <v>152</v>
      </c>
      <c r="B112" s="10"/>
    </row>
    <row r="113" spans="1:8" x14ac:dyDescent="0.2">
      <c r="A113" s="9">
        <f>A111</f>
        <v>0</v>
      </c>
      <c r="B113" s="13" t="s">
        <v>28</v>
      </c>
    </row>
    <row r="114" spans="1:8" ht="32" customHeight="1" x14ac:dyDescent="0.2">
      <c r="A114" s="41" t="s">
        <v>174</v>
      </c>
      <c r="B114" s="41"/>
      <c r="C114" s="41"/>
      <c r="D114" s="41"/>
      <c r="E114" s="41"/>
      <c r="F114" s="41"/>
      <c r="G114" s="41"/>
      <c r="H114" s="41"/>
    </row>
    <row r="115" spans="1:8" x14ac:dyDescent="0.2">
      <c r="A115" s="13" t="s">
        <v>171</v>
      </c>
    </row>
    <row r="116" spans="1:8" x14ac:dyDescent="0.2">
      <c r="A116" s="33">
        <v>4.7E-2</v>
      </c>
    </row>
    <row r="117" spans="1:8" x14ac:dyDescent="0.2">
      <c r="A117" s="1" t="s">
        <v>56</v>
      </c>
      <c r="B117" s="1"/>
    </row>
    <row r="118" spans="1:8" x14ac:dyDescent="0.2">
      <c r="A118" s="20">
        <f>A116*A113/(1+A116)</f>
        <v>0</v>
      </c>
    </row>
    <row r="119" spans="1:8" x14ac:dyDescent="0.2">
      <c r="A119" s="13" t="s">
        <v>92</v>
      </c>
      <c r="B119" s="11"/>
    </row>
    <row r="120" spans="1:8" x14ac:dyDescent="0.2">
      <c r="A120" s="22">
        <f>A68</f>
        <v>0</v>
      </c>
    </row>
    <row r="121" spans="1:8" x14ac:dyDescent="0.2">
      <c r="B121" s="35"/>
    </row>
    <row r="122" spans="1:8" x14ac:dyDescent="0.2">
      <c r="A122" s="23" t="s">
        <v>138</v>
      </c>
    </row>
    <row r="123" spans="1:8" x14ac:dyDescent="0.2">
      <c r="A123" s="13" t="s">
        <v>57</v>
      </c>
    </row>
    <row r="124" spans="1:8" x14ac:dyDescent="0.2">
      <c r="A124" s="34">
        <f>A82</f>
        <v>0</v>
      </c>
      <c r="B124" s="34" t="str">
        <f>B82</f>
        <v>kWh per year</v>
      </c>
    </row>
    <row r="125" spans="1:8" x14ac:dyDescent="0.2">
      <c r="A125" s="13" t="s">
        <v>167</v>
      </c>
    </row>
    <row r="126" spans="1:8" x14ac:dyDescent="0.2">
      <c r="A126" s="12">
        <v>8.64</v>
      </c>
      <c r="B126" s="13" t="s">
        <v>149</v>
      </c>
      <c r="E126" s="13" t="s">
        <v>154</v>
      </c>
    </row>
    <row r="127" spans="1:8" x14ac:dyDescent="0.2">
      <c r="A127" s="13" t="s">
        <v>31</v>
      </c>
    </row>
    <row r="128" spans="1:8" x14ac:dyDescent="0.2">
      <c r="A128" s="16">
        <f>A124*A126/100</f>
        <v>0</v>
      </c>
    </row>
    <row r="129" spans="1:8" x14ac:dyDescent="0.2">
      <c r="A129" s="13" t="s">
        <v>153</v>
      </c>
      <c r="B129" s="10"/>
    </row>
    <row r="130" spans="1:8" x14ac:dyDescent="0.2">
      <c r="A130" s="9">
        <f>A128</f>
        <v>0</v>
      </c>
      <c r="B130" s="13" t="s">
        <v>28</v>
      </c>
    </row>
    <row r="131" spans="1:8" ht="32" customHeight="1" x14ac:dyDescent="0.2">
      <c r="A131" s="41" t="s">
        <v>175</v>
      </c>
      <c r="B131" s="41"/>
      <c r="C131" s="41"/>
      <c r="D131" s="41"/>
      <c r="E131" s="41"/>
      <c r="F131" s="41"/>
      <c r="G131" s="41"/>
      <c r="H131" s="41"/>
    </row>
    <row r="132" spans="1:8" x14ac:dyDescent="0.2">
      <c r="A132" s="13" t="s">
        <v>171</v>
      </c>
    </row>
    <row r="133" spans="1:8" x14ac:dyDescent="0.2">
      <c r="A133" s="33">
        <v>4.7E-2</v>
      </c>
    </row>
    <row r="134" spans="1:8" x14ac:dyDescent="0.2">
      <c r="A134" s="1" t="s">
        <v>56</v>
      </c>
      <c r="B134" s="1"/>
    </row>
    <row r="135" spans="1:8" x14ac:dyDescent="0.2">
      <c r="A135" s="20">
        <f>A133*A128/(1+A133)</f>
        <v>0</v>
      </c>
    </row>
    <row r="136" spans="1:8" x14ac:dyDescent="0.2">
      <c r="A136" s="13" t="s">
        <v>93</v>
      </c>
      <c r="B136" s="11"/>
    </row>
    <row r="137" spans="1:8" x14ac:dyDescent="0.2">
      <c r="A137" s="22">
        <f>A86</f>
        <v>0</v>
      </c>
    </row>
    <row r="139" spans="1:8" x14ac:dyDescent="0.2">
      <c r="A139" s="13" t="s">
        <v>102</v>
      </c>
    </row>
    <row r="140" spans="1:8" x14ac:dyDescent="0.2">
      <c r="A140" s="21">
        <f>SUM(A141:A143)</f>
        <v>0</v>
      </c>
      <c r="B140" s="1" t="s">
        <v>109</v>
      </c>
    </row>
    <row r="141" spans="1:8" x14ac:dyDescent="0.2">
      <c r="A141" s="22">
        <f>A103</f>
        <v>0</v>
      </c>
      <c r="B141" s="13" t="s">
        <v>103</v>
      </c>
    </row>
    <row r="142" spans="1:8" x14ac:dyDescent="0.2">
      <c r="A142" s="22">
        <f>A118</f>
        <v>0</v>
      </c>
      <c r="B142" s="13" t="s">
        <v>104</v>
      </c>
    </row>
    <row r="143" spans="1:8" x14ac:dyDescent="0.2">
      <c r="A143" s="22">
        <f>A135</f>
        <v>0</v>
      </c>
      <c r="B143" s="13" t="s">
        <v>105</v>
      </c>
    </row>
    <row r="145" spans="1:2" x14ac:dyDescent="0.2">
      <c r="A145" s="13" t="s">
        <v>111</v>
      </c>
    </row>
    <row r="146" spans="1:2" x14ac:dyDescent="0.2">
      <c r="A146" s="21">
        <f>A89</f>
        <v>0</v>
      </c>
      <c r="B146" s="14" t="str">
        <f>B89</f>
        <v>Total carbon tax payments</v>
      </c>
    </row>
    <row r="147" spans="1:2" x14ac:dyDescent="0.2">
      <c r="A147" s="22">
        <f>A90</f>
        <v>0</v>
      </c>
      <c r="B147" s="35" t="str">
        <f>B90</f>
        <v>Gasoline</v>
      </c>
    </row>
    <row r="148" spans="1:2" x14ac:dyDescent="0.2">
      <c r="A148" s="22">
        <f t="shared" ref="A148:B148" si="0">A91</f>
        <v>0</v>
      </c>
      <c r="B148" s="35" t="str">
        <f t="shared" si="0"/>
        <v>On-road diesel</v>
      </c>
    </row>
    <row r="149" spans="1:2" x14ac:dyDescent="0.2">
      <c r="A149" s="22">
        <f t="shared" ref="A149:B149" si="1">A92</f>
        <v>0</v>
      </c>
      <c r="B149" s="35" t="str">
        <f t="shared" si="1"/>
        <v>Jet fuel</v>
      </c>
    </row>
    <row r="150" spans="1:2" x14ac:dyDescent="0.2">
      <c r="A150" s="22">
        <f t="shared" ref="A150:B150" si="2">A93</f>
        <v>0</v>
      </c>
      <c r="B150" s="35" t="str">
        <f t="shared" si="2"/>
        <v>Natural gas</v>
      </c>
    </row>
    <row r="151" spans="1:2" x14ac:dyDescent="0.2">
      <c r="A151" s="22">
        <f t="shared" ref="A151:B151" si="3">A94</f>
        <v>0</v>
      </c>
      <c r="B151" s="35" t="str">
        <f t="shared" si="3"/>
        <v>Electricity</v>
      </c>
    </row>
  </sheetData>
  <mergeCells count="5">
    <mergeCell ref="A54:G54"/>
    <mergeCell ref="A72:G72"/>
    <mergeCell ref="A131:H131"/>
    <mergeCell ref="A41:H41"/>
    <mergeCell ref="A114:H1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Residential</vt:lpstr>
      <vt:lpstr>Commercial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Yoram Bauman</dc:creator>
  <cp:lastModifiedBy>Yoram Bauman</cp:lastModifiedBy>
  <dcterms:created xsi:type="dcterms:W3CDTF">2019-02-24T12:12:49Z</dcterms:created>
  <dcterms:modified xsi:type="dcterms:W3CDTF">2019-03-03T13:02:50Z</dcterms:modified>
</cp:coreProperties>
</file>